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B1188CDA-4DC0-466A-9468-5635CFB71D7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4" i="1" l="1"/>
  <c r="I29" i="1" l="1"/>
  <c r="I13" i="1"/>
  <c r="C922" i="1" l="1"/>
  <c r="C921" i="1"/>
  <c r="C932" i="1" s="1"/>
  <c r="C917" i="1"/>
  <c r="C915" i="1"/>
  <c r="C914" i="1"/>
  <c r="C913" i="1"/>
  <c r="C912" i="1"/>
  <c r="C875" i="1"/>
  <c r="C874" i="1"/>
  <c r="C864" i="1"/>
  <c r="C865" i="1"/>
  <c r="C869" i="1"/>
  <c r="C866" i="1"/>
  <c r="C867" i="1"/>
  <c r="C868" i="1"/>
  <c r="C826" i="1"/>
  <c r="C840" i="1" s="1"/>
  <c r="C821" i="1"/>
  <c r="C819" i="1"/>
  <c r="C818" i="1"/>
  <c r="C817" i="1"/>
  <c r="C816" i="1"/>
  <c r="C778" i="1"/>
  <c r="C773" i="1"/>
  <c r="C772" i="1"/>
  <c r="C771" i="1"/>
  <c r="C770" i="1"/>
  <c r="C769" i="1"/>
  <c r="C722" i="1"/>
  <c r="C721" i="1"/>
  <c r="C731" i="1"/>
  <c r="C745" i="1" s="1"/>
  <c r="C726" i="1"/>
  <c r="C725" i="1"/>
  <c r="C723" i="1"/>
  <c r="C724" i="1"/>
  <c r="C683" i="1"/>
  <c r="C697" i="1" s="1"/>
  <c r="C677" i="1"/>
  <c r="C676" i="1"/>
  <c r="C675" i="1"/>
  <c r="C674" i="1"/>
  <c r="C673" i="1"/>
  <c r="C636" i="1"/>
  <c r="C648" i="1" s="1"/>
  <c r="C632" i="1"/>
  <c r="C629" i="1"/>
  <c r="C627" i="1"/>
  <c r="C626" i="1"/>
  <c r="C628" i="1"/>
  <c r="C631" i="1"/>
  <c r="C581" i="1"/>
  <c r="C580" i="1"/>
  <c r="C579" i="1"/>
  <c r="C578" i="1"/>
  <c r="C586" i="1"/>
  <c r="C599" i="1" s="1"/>
  <c r="C540" i="1"/>
  <c r="C535" i="1"/>
  <c r="C534" i="1"/>
  <c r="C533" i="1"/>
  <c r="C532" i="1"/>
  <c r="C531" i="1"/>
  <c r="C491" i="1"/>
  <c r="C486" i="1"/>
  <c r="C485" i="1"/>
  <c r="C484" i="1"/>
  <c r="C483" i="1"/>
  <c r="C444" i="1"/>
  <c r="C438" i="1"/>
  <c r="C436" i="1"/>
  <c r="C435" i="1"/>
  <c r="C437" i="1"/>
  <c r="C439" i="1"/>
  <c r="C398" i="1"/>
  <c r="C412" i="1" s="1"/>
  <c r="C390" i="1"/>
  <c r="C391" i="1"/>
  <c r="C392" i="1"/>
  <c r="C393" i="1"/>
  <c r="C389" i="1"/>
  <c r="C388" i="1"/>
  <c r="C387" i="1"/>
  <c r="C349" i="1"/>
  <c r="C348" i="1"/>
  <c r="C343" i="1"/>
  <c r="C342" i="1"/>
  <c r="C341" i="1"/>
  <c r="C340" i="1"/>
  <c r="C305" i="1" l="1"/>
  <c r="C300" i="1"/>
  <c r="C312" i="1" s="1"/>
  <c r="C295" i="1"/>
  <c r="C294" i="1"/>
  <c r="C297" i="1" s="1"/>
  <c r="C293" i="1"/>
  <c r="C292" i="1"/>
  <c r="C257" i="1"/>
  <c r="C253" i="1"/>
  <c r="C252" i="1"/>
  <c r="C247" i="1"/>
  <c r="C246" i="1"/>
  <c r="C245" i="1"/>
  <c r="C244" i="1"/>
  <c r="C243" i="1"/>
  <c r="C204" i="1"/>
  <c r="C203" i="1"/>
  <c r="C197" i="1"/>
  <c r="C195" i="1"/>
  <c r="C194" i="1"/>
  <c r="C196" i="1"/>
  <c r="C198" i="1"/>
  <c r="C158" i="1"/>
  <c r="C147" i="1"/>
  <c r="C146" i="1"/>
  <c r="C149" i="1"/>
  <c r="C148" i="1"/>
  <c r="C152" i="1"/>
  <c r="C114" i="1"/>
  <c r="C115" i="1"/>
  <c r="C112" i="1"/>
  <c r="C128" i="1" s="1"/>
  <c r="C105" i="1"/>
  <c r="C107" i="1"/>
  <c r="C106" i="1"/>
  <c r="C103" i="1"/>
  <c r="C101" i="1"/>
  <c r="C100" i="1"/>
  <c r="C102" i="1"/>
  <c r="C108" i="1"/>
  <c r="C72" i="1"/>
  <c r="C69" i="1"/>
  <c r="C66" i="1"/>
  <c r="C64" i="1"/>
  <c r="C63" i="1"/>
  <c r="C62" i="1"/>
  <c r="C56" i="1"/>
  <c r="C55" i="1"/>
  <c r="C53" i="1"/>
  <c r="C54" i="1"/>
  <c r="C58" i="1"/>
  <c r="C17" i="1"/>
  <c r="C18" i="1"/>
  <c r="C29" i="1" l="1"/>
  <c r="C11" i="1"/>
  <c r="C9" i="1"/>
  <c r="C8" i="1"/>
  <c r="C10" i="1"/>
  <c r="C13" i="1"/>
  <c r="C156" i="1"/>
  <c r="C74" i="1" l="1"/>
  <c r="C59" i="1" l="1"/>
  <c r="G59" i="1" s="1"/>
  <c r="C14" i="1" l="1"/>
  <c r="G14" i="1" l="1"/>
  <c r="C680" i="1"/>
  <c r="G680" i="1" s="1"/>
  <c r="C728" i="1"/>
  <c r="G728" i="1" s="1"/>
  <c r="C823" i="1"/>
  <c r="G823" i="1" s="1"/>
  <c r="C918" i="1"/>
  <c r="G918" i="1" s="1"/>
  <c r="C775" i="1"/>
  <c r="C871" i="1"/>
  <c r="C583" i="1"/>
  <c r="C537" i="1"/>
  <c r="C488" i="1"/>
  <c r="C633" i="1"/>
  <c r="C441" i="1" l="1"/>
  <c r="C345" i="1" l="1"/>
  <c r="C395" i="1"/>
  <c r="C249" i="1"/>
  <c r="C153" i="1"/>
  <c r="C200" i="1"/>
  <c r="C109" i="1"/>
  <c r="H14" i="1" s="1"/>
  <c r="C214" i="1" l="1"/>
  <c r="G200" i="1" s="1"/>
  <c r="G633" i="1" l="1"/>
  <c r="C887" i="1" l="1"/>
  <c r="G871" i="1" s="1"/>
  <c r="C791" i="1" l="1"/>
  <c r="G775" i="1" s="1"/>
  <c r="G583" i="1" l="1"/>
  <c r="C551" i="1" l="1"/>
  <c r="G537" i="1" s="1"/>
  <c r="C505" i="1" l="1"/>
  <c r="G488" i="1" s="1"/>
  <c r="C455" i="1" l="1"/>
  <c r="G441" i="1" s="1"/>
  <c r="G395" i="1" l="1"/>
  <c r="C360" i="1" l="1"/>
  <c r="G345" i="1" s="1"/>
  <c r="G297" i="1" l="1"/>
  <c r="C262" i="1" l="1"/>
  <c r="G249" i="1" s="1"/>
  <c r="C168" i="1" l="1"/>
  <c r="G153" i="1" s="1"/>
  <c r="H29" i="1" l="1"/>
  <c r="G109" i="1"/>
  <c r="G939" i="1" s="1"/>
</calcChain>
</file>

<file path=xl/sharedStrings.xml><?xml version="1.0" encoding="utf-8"?>
<sst xmlns="http://schemas.openxmlformats.org/spreadsheetml/2006/main" count="578" uniqueCount="66">
  <si>
    <t>мкр.Октябрьский д.1</t>
  </si>
  <si>
    <t>Доходы, руб</t>
  </si>
  <si>
    <t>в том числе задолжность за жилищные услуги</t>
  </si>
  <si>
    <t xml:space="preserve">Жилищные услуги </t>
  </si>
  <si>
    <t>Пользование общим иммуществом многоквартирного дома</t>
  </si>
  <si>
    <t>Содержание консьержа</t>
  </si>
  <si>
    <t>Плата за домофон</t>
  </si>
  <si>
    <t>Итого</t>
  </si>
  <si>
    <t>Расходы, руб</t>
  </si>
  <si>
    <t>Благоустройство</t>
  </si>
  <si>
    <t>Дератизация, дезинсекция</t>
  </si>
  <si>
    <t>Исследование проб воды</t>
  </si>
  <si>
    <t>Содержание и текущий ремонт помещений</t>
  </si>
  <si>
    <t>Содержание и ремонт домофонов</t>
  </si>
  <si>
    <t>Содержание и ремонт лифтов</t>
  </si>
  <si>
    <t>Содержание систем водоснабжения и энергоснабжения</t>
  </si>
  <si>
    <t>Уборка помещений</t>
  </si>
  <si>
    <t>Услуги управления</t>
  </si>
  <si>
    <t>мкр.Октябрьский д.2</t>
  </si>
  <si>
    <t>Содержание общедомовых антенн</t>
  </si>
  <si>
    <t xml:space="preserve">Итого </t>
  </si>
  <si>
    <t>мкр.Октябрьский д.3</t>
  </si>
  <si>
    <t>мкр.Октябрьский д.4</t>
  </si>
  <si>
    <t>мкр.Октябрьский д.5</t>
  </si>
  <si>
    <t>мкр.Октябрьский д.6</t>
  </si>
  <si>
    <t>мкр.Октябрьский д.7</t>
  </si>
  <si>
    <t>Ремонт и обслуживание видеонаблюдения</t>
  </si>
  <si>
    <t>мкр.Октябрьский д.9</t>
  </si>
  <si>
    <t>мкр.Октябрьский д.10</t>
  </si>
  <si>
    <t>мкр.Октябрьский д.11</t>
  </si>
  <si>
    <t>Содержание систем отопления и ГВС</t>
  </si>
  <si>
    <t>мкр.Октябрьский д.13</t>
  </si>
  <si>
    <t>Итого расходы</t>
  </si>
  <si>
    <t>мкр.Октябрьский д.14</t>
  </si>
  <si>
    <t>ж.д Ингодинская 30</t>
  </si>
  <si>
    <t>ж.д Набережная 86</t>
  </si>
  <si>
    <t>Ремонт ворот</t>
  </si>
  <si>
    <t>мкр. Царский, дом 1</t>
  </si>
  <si>
    <t>мкр. Царский, дом 2</t>
  </si>
  <si>
    <t>Услуги связи, интернет для видеонаблюдения</t>
  </si>
  <si>
    <t>мкр. Царский, дом 3</t>
  </si>
  <si>
    <t>мкр. Царский, дом 4</t>
  </si>
  <si>
    <t>Плата за э/э и интернет для системы наружного видеонаблюдения</t>
  </si>
  <si>
    <t>мкр. Царский, дом 5</t>
  </si>
  <si>
    <t>Плата за эл/эн и нтернет для системы наружного видеонаблюдения</t>
  </si>
  <si>
    <t>мкр. Царский, дом 6</t>
  </si>
  <si>
    <t>Содержание систем отопление и ГВС</t>
  </si>
  <si>
    <t>Утверждаю:</t>
  </si>
  <si>
    <t>Директор ООО "Элит-Сервис"</t>
  </si>
  <si>
    <t>Составил:</t>
  </si>
  <si>
    <t>Экономист ООО "Элит-Сервис"</t>
  </si>
  <si>
    <t>Обслуживание системы видеонаблюдения</t>
  </si>
  <si>
    <t>Содержание систем водоснабжения и электроснабжения</t>
  </si>
  <si>
    <t>Обслуживание шлагбаума</t>
  </si>
  <si>
    <t>Монтаж и ремонт шлагбаума</t>
  </si>
  <si>
    <t>Содержание и текущий ремонт систем автоматизированной противопожарной защиты</t>
  </si>
  <si>
    <t>Содержание детских площадок</t>
  </si>
  <si>
    <t>Покраска забора</t>
  </si>
  <si>
    <t>Текущий ремонт</t>
  </si>
  <si>
    <t>Содержание мистем отопления и ГВС</t>
  </si>
  <si>
    <t>Эксплуатационные услуги(нежилые помещения)</t>
  </si>
  <si>
    <t>Эксплуатационные услуги (нежилые помещения)</t>
  </si>
  <si>
    <t>2024 год</t>
  </si>
  <si>
    <t>Задолжность за коммунальные и жилищные услуги на 31.12.2024г.</t>
  </si>
  <si>
    <t>Озеленение</t>
  </si>
  <si>
    <t>Текущий ремонт (из резерва прошлых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</si>
</sst>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Fill="1"/>
    <xf numFmtId="4" fontId="1" fillId="0" borderId="0" xfId="0" applyNumberFormat="1" applyFont="1" applyFill="1"/>
    <xf numFmtId="4" fontId="1" fillId="0" borderId="0" xfId="0" applyNumberFormat="1" applyFont="1"/>
    <xf numFmtId="4" fontId="1" fillId="0" borderId="0" xfId="0" applyNumberFormat="1" applyFont="1" applyBorder="1"/>
    <xf numFmtId="0" fontId="1" fillId="0" borderId="0" xfId="0" applyFont="1" applyBorder="1"/>
    <xf numFmtId="0" fontId="1" fillId="0" borderId="0" xfId="0" applyFont="1"/>
    <xf numFmtId="0" fontId="2" fillId="2" borderId="1" xfId="0" applyFont="1" applyFill="1" applyBorder="1"/>
    <xf numFmtId="0" fontId="1" fillId="2" borderId="2" xfId="0" applyFont="1" applyFill="1" applyBorder="1"/>
    <xf numFmtId="4" fontId="1" fillId="2" borderId="3" xfId="0" applyNumberFormat="1" applyFont="1" applyFill="1" applyBorder="1"/>
    <xf numFmtId="0" fontId="2" fillId="0" borderId="4" xfId="0" applyFont="1" applyFill="1" applyBorder="1"/>
    <xf numFmtId="0" fontId="1" fillId="0" borderId="5" xfId="0" applyFont="1" applyFill="1" applyBorder="1"/>
    <xf numFmtId="4" fontId="1" fillId="0" borderId="6" xfId="0" applyNumberFormat="1" applyFont="1" applyFill="1" applyBorder="1"/>
    <xf numFmtId="0" fontId="2" fillId="0" borderId="7" xfId="0" applyFont="1" applyFill="1" applyBorder="1"/>
    <xf numFmtId="0" fontId="1" fillId="0" borderId="0" xfId="0" applyFont="1" applyFill="1" applyBorder="1"/>
    <xf numFmtId="4" fontId="3" fillId="0" borderId="8" xfId="0" applyNumberFormat="1" applyFont="1" applyFill="1" applyBorder="1"/>
    <xf numFmtId="4" fontId="4" fillId="0" borderId="8" xfId="0" applyNumberFormat="1" applyFont="1" applyFill="1" applyBorder="1"/>
    <xf numFmtId="164" fontId="1" fillId="0" borderId="0" xfId="0" applyNumberFormat="1" applyFont="1" applyBorder="1"/>
    <xf numFmtId="0" fontId="2" fillId="0" borderId="0" xfId="0" applyFont="1" applyFill="1" applyBorder="1"/>
    <xf numFmtId="4" fontId="2" fillId="0" borderId="8" xfId="0" applyNumberFormat="1" applyFont="1" applyFill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Fill="1" applyBorder="1"/>
    <xf numFmtId="2" fontId="1" fillId="0" borderId="0" xfId="0" applyNumberFormat="1" applyFont="1" applyBorder="1" applyAlignment="1">
      <alignment wrapText="1"/>
    </xf>
    <xf numFmtId="4" fontId="4" fillId="0" borderId="15" xfId="0" applyNumberFormat="1" applyFont="1" applyFill="1" applyBorder="1"/>
    <xf numFmtId="4" fontId="2" fillId="0" borderId="3" xfId="0" applyNumberFormat="1" applyFont="1" applyFill="1" applyBorder="1"/>
    <xf numFmtId="0" fontId="2" fillId="0" borderId="9" xfId="0" applyFont="1" applyFill="1" applyBorder="1"/>
    <xf numFmtId="0" fontId="1" fillId="0" borderId="10" xfId="0" applyFont="1" applyFill="1" applyBorder="1"/>
    <xf numFmtId="4" fontId="2" fillId="0" borderId="15" xfId="0" applyNumberFormat="1" applyFont="1" applyFill="1" applyBorder="1"/>
    <xf numFmtId="0" fontId="2" fillId="0" borderId="16" xfId="0" applyFont="1" applyFill="1" applyBorder="1"/>
    <xf numFmtId="0" fontId="1" fillId="0" borderId="17" xfId="0" applyFont="1" applyFill="1" applyBorder="1"/>
    <xf numFmtId="4" fontId="1" fillId="0" borderId="18" xfId="0" applyNumberFormat="1" applyFont="1" applyFill="1" applyBorder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0" xfId="0" applyFont="1" applyFill="1" applyBorder="1" applyAlignment="1"/>
    <xf numFmtId="4" fontId="2" fillId="0" borderId="8" xfId="0" applyNumberFormat="1" applyFont="1" applyFill="1" applyBorder="1" applyAlignment="1"/>
    <xf numFmtId="4" fontId="1" fillId="0" borderId="19" xfId="0" applyNumberFormat="1" applyFont="1" applyFill="1" applyBorder="1"/>
    <xf numFmtId="0" fontId="1" fillId="0" borderId="12" xfId="0" applyFont="1" applyFill="1" applyBorder="1"/>
    <xf numFmtId="0" fontId="2" fillId="2" borderId="13" xfId="0" applyFont="1" applyFill="1" applyBorder="1"/>
    <xf numFmtId="0" fontId="1" fillId="2" borderId="14" xfId="0" applyFont="1" applyFill="1" applyBorder="1"/>
    <xf numFmtId="4" fontId="4" fillId="0" borderId="0" xfId="0" applyNumberFormat="1" applyFont="1" applyFill="1" applyBorder="1"/>
    <xf numFmtId="4" fontId="2" fillId="0" borderId="0" xfId="0" applyNumberFormat="1" applyFont="1" applyFill="1" applyBorder="1"/>
    <xf numFmtId="0" fontId="2" fillId="2" borderId="16" xfId="0" applyFont="1" applyFill="1" applyBorder="1"/>
    <xf numFmtId="0" fontId="1" fillId="2" borderId="17" xfId="0" applyFont="1" applyFill="1" applyBorder="1"/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4" fontId="1" fillId="0" borderId="10" xfId="0" applyNumberFormat="1" applyFont="1" applyFill="1" applyBorder="1"/>
    <xf numFmtId="4" fontId="1" fillId="0" borderId="0" xfId="0" applyNumberFormat="1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3" fontId="1" fillId="2" borderId="3" xfId="0" applyNumberFormat="1" applyFont="1" applyFill="1" applyBorder="1"/>
    <xf numFmtId="3" fontId="1" fillId="2" borderId="18" xfId="0" applyNumberFormat="1" applyFont="1" applyFill="1" applyBorder="1"/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" fontId="4" fillId="0" borderId="8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4" fontId="2" fillId="0" borderId="14" xfId="0" applyNumberFormat="1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9"/>
  <sheetViews>
    <sheetView tabSelected="1" workbookViewId="0">
      <selection activeCell="A906" sqref="A906:XFD906"/>
    </sheetView>
  </sheetViews>
  <sheetFormatPr defaultRowHeight="15.75" x14ac:dyDescent="0.25"/>
  <cols>
    <col min="1" max="1" width="16.7109375" style="1" customWidth="1"/>
    <col min="2" max="2" width="54" style="1" customWidth="1"/>
    <col min="3" max="3" width="14.85546875" style="2" customWidth="1"/>
    <col min="4" max="4" width="11.7109375" style="3" customWidth="1"/>
    <col min="5" max="5" width="10" style="3" bestFit="1" customWidth="1"/>
    <col min="6" max="6" width="9.140625" style="3"/>
    <col min="7" max="7" width="16.85546875" style="3" customWidth="1"/>
    <col min="8" max="8" width="29" style="3" customWidth="1"/>
    <col min="9" max="9" width="29" style="6" customWidth="1"/>
    <col min="10" max="15" width="12.5703125" style="6" customWidth="1"/>
    <col min="16" max="16384" width="9.140625" style="6"/>
  </cols>
  <sheetData>
    <row r="1" spans="1:17" x14ac:dyDescent="0.25">
      <c r="C1" s="2" t="s">
        <v>47</v>
      </c>
    </row>
    <row r="2" spans="1:17" x14ac:dyDescent="0.25">
      <c r="C2" s="51" t="s">
        <v>48</v>
      </c>
    </row>
    <row r="3" spans="1:17" x14ac:dyDescent="0.25">
      <c r="C3" s="50"/>
    </row>
    <row r="5" spans="1:17" ht="5.25" customHeight="1" thickBot="1" x14ac:dyDescent="0.3">
      <c r="A5" s="55"/>
      <c r="B5" s="56"/>
      <c r="C5" s="96"/>
      <c r="D5" s="22"/>
      <c r="E5" s="22"/>
      <c r="F5" s="22"/>
      <c r="H5" s="20"/>
      <c r="I5" s="21"/>
      <c r="J5" s="17"/>
      <c r="K5" s="17"/>
      <c r="L5" s="17"/>
      <c r="M5" s="17"/>
      <c r="N5" s="17"/>
      <c r="O5" s="17"/>
      <c r="P5" s="5"/>
      <c r="Q5" s="5"/>
    </row>
    <row r="6" spans="1:17" ht="16.5" thickBot="1" x14ac:dyDescent="0.3">
      <c r="A6" s="7" t="s">
        <v>34</v>
      </c>
      <c r="B6" s="8"/>
      <c r="C6" s="9" t="s">
        <v>62</v>
      </c>
      <c r="D6" s="2"/>
      <c r="E6" s="2"/>
      <c r="F6" s="2"/>
      <c r="G6" s="2"/>
      <c r="H6" s="6"/>
    </row>
    <row r="7" spans="1:17" x14ac:dyDescent="0.25">
      <c r="A7" s="10" t="s">
        <v>1</v>
      </c>
      <c r="B7" s="11"/>
      <c r="C7" s="37"/>
      <c r="D7" s="2"/>
      <c r="E7" s="2"/>
      <c r="F7" s="2"/>
      <c r="G7" s="2"/>
      <c r="H7" s="23"/>
    </row>
    <row r="8" spans="1:17" x14ac:dyDescent="0.25">
      <c r="A8" s="13" t="s">
        <v>63</v>
      </c>
      <c r="B8" s="14"/>
      <c r="C8" s="15">
        <f>(414726.34-13411.98-62718.84-12411.85)/1.2+13411.98+62718.84+12411.85</f>
        <v>360362.39500000002</v>
      </c>
      <c r="D8" s="2"/>
      <c r="E8" s="2"/>
      <c r="F8" s="2"/>
      <c r="G8" s="2"/>
      <c r="H8" s="23"/>
    </row>
    <row r="9" spans="1:17" x14ac:dyDescent="0.25">
      <c r="A9" s="13" t="s">
        <v>2</v>
      </c>
      <c r="B9" s="14"/>
      <c r="C9" s="15">
        <f>2959.08/1.2+62718.84+57606.22/1.2</f>
        <v>113189.92333333334</v>
      </c>
      <c r="D9" s="2"/>
      <c r="E9" s="2"/>
      <c r="F9" s="2"/>
      <c r="G9" s="2"/>
      <c r="H9" s="23"/>
    </row>
    <row r="10" spans="1:17" x14ac:dyDescent="0.25">
      <c r="A10" s="100" t="s">
        <v>3</v>
      </c>
      <c r="B10" s="101"/>
      <c r="C10" s="16">
        <f>696489.78+614840.94/1.2</f>
        <v>1208857.23</v>
      </c>
      <c r="D10" s="2"/>
      <c r="E10" s="101"/>
      <c r="F10" s="101"/>
      <c r="G10" s="41"/>
      <c r="H10" s="6"/>
    </row>
    <row r="11" spans="1:17" x14ac:dyDescent="0.25">
      <c r="A11" s="100" t="s">
        <v>60</v>
      </c>
      <c r="B11" s="101"/>
      <c r="C11" s="16">
        <f>65810.16+58095.48/1.2</f>
        <v>114223.06</v>
      </c>
      <c r="D11" s="2"/>
      <c r="E11" s="101"/>
      <c r="F11" s="101"/>
      <c r="G11" s="41"/>
      <c r="H11" s="6"/>
    </row>
    <row r="12" spans="1:17" x14ac:dyDescent="0.25">
      <c r="A12" s="53" t="s">
        <v>4</v>
      </c>
      <c r="B12" s="54"/>
      <c r="C12" s="16">
        <v>16233</v>
      </c>
      <c r="D12" s="2"/>
      <c r="E12" s="54"/>
      <c r="F12" s="54"/>
      <c r="G12" s="41"/>
      <c r="H12" s="6"/>
    </row>
    <row r="13" spans="1:17" x14ac:dyDescent="0.25">
      <c r="A13" s="53" t="s">
        <v>6</v>
      </c>
      <c r="B13" s="54"/>
      <c r="C13" s="16">
        <f>25440/1.2</f>
        <v>21200</v>
      </c>
      <c r="D13" s="2"/>
      <c r="E13" s="54"/>
      <c r="F13" s="54"/>
      <c r="G13" s="41"/>
      <c r="H13" s="6"/>
      <c r="I13" s="6">
        <f>55132689.46+1224430.02/1.2+2269426.86+807054.6/1.2+80664</f>
        <v>59175684.170000002</v>
      </c>
    </row>
    <row r="14" spans="1:17" x14ac:dyDescent="0.25">
      <c r="A14" s="13" t="s">
        <v>7</v>
      </c>
      <c r="B14" s="18"/>
      <c r="C14" s="19">
        <f>SUM(C10:C13)</f>
        <v>1360513.29</v>
      </c>
      <c r="E14" s="18"/>
      <c r="F14" s="18"/>
      <c r="G14" s="42">
        <f>C14-C29</f>
        <v>-97797.621666666819</v>
      </c>
      <c r="H14" s="3">
        <f>C14+C59+C109+C153+C200+C249+C297+C345+C395+C441+C488+C537+C583+C633+C680+C728+C775+C823+C871+C918</f>
        <v>59884424.339999989</v>
      </c>
    </row>
    <row r="15" spans="1:17" x14ac:dyDescent="0.25">
      <c r="A15" s="13"/>
      <c r="B15" s="18"/>
      <c r="C15" s="19"/>
      <c r="E15" s="18"/>
      <c r="F15" s="18"/>
      <c r="G15" s="42"/>
      <c r="H15" s="6"/>
    </row>
    <row r="16" spans="1:17" x14ac:dyDescent="0.25">
      <c r="A16" s="108" t="s">
        <v>8</v>
      </c>
      <c r="B16" s="109"/>
      <c r="C16" s="12"/>
      <c r="D16" s="2"/>
      <c r="E16" s="14"/>
      <c r="F16" s="14"/>
      <c r="G16" s="22"/>
      <c r="H16" s="6"/>
    </row>
    <row r="17" spans="1:17" ht="15" customHeight="1" x14ac:dyDescent="0.25">
      <c r="A17" s="102" t="s">
        <v>9</v>
      </c>
      <c r="B17" s="103"/>
      <c r="C17" s="16">
        <f>13108.17+178947.67</f>
        <v>192055.84000000003</v>
      </c>
      <c r="D17" s="22"/>
      <c r="E17" s="117"/>
      <c r="F17" s="117"/>
      <c r="G17" s="22"/>
      <c r="H17" s="20"/>
      <c r="I17" s="21"/>
      <c r="J17" s="17"/>
      <c r="K17" s="17"/>
      <c r="L17" s="17"/>
      <c r="M17" s="17"/>
      <c r="N17" s="17"/>
      <c r="O17" s="17"/>
      <c r="P17" s="5"/>
      <c r="Q17" s="5"/>
    </row>
    <row r="18" spans="1:17" ht="15" customHeight="1" x14ac:dyDescent="0.25">
      <c r="A18" s="53" t="s">
        <v>10</v>
      </c>
      <c r="B18" s="54"/>
      <c r="C18" s="16">
        <f>4913.57/1.2</f>
        <v>4094.6416666666664</v>
      </c>
      <c r="D18" s="22"/>
      <c r="E18" s="65"/>
      <c r="F18" s="65"/>
      <c r="G18" s="22"/>
      <c r="H18" s="20"/>
      <c r="I18" s="21"/>
      <c r="J18" s="17"/>
      <c r="K18" s="17"/>
      <c r="L18" s="17"/>
      <c r="M18" s="17"/>
      <c r="N18" s="17"/>
      <c r="O18" s="17"/>
      <c r="P18" s="5"/>
      <c r="Q18" s="5"/>
    </row>
    <row r="19" spans="1:17" ht="15" customHeight="1" x14ac:dyDescent="0.25">
      <c r="A19" s="53" t="s">
        <v>11</v>
      </c>
      <c r="B19" s="54"/>
      <c r="C19" s="16">
        <v>4831.5</v>
      </c>
      <c r="D19" s="22"/>
      <c r="E19" s="101"/>
      <c r="F19" s="101"/>
      <c r="G19" s="41"/>
      <c r="H19" s="20"/>
      <c r="I19" s="21"/>
      <c r="J19" s="17"/>
      <c r="K19" s="17"/>
      <c r="L19" s="17"/>
      <c r="M19" s="17"/>
      <c r="N19" s="17"/>
      <c r="O19" s="17"/>
      <c r="P19" s="5"/>
      <c r="Q19" s="5"/>
    </row>
    <row r="20" spans="1:17" ht="15" customHeight="1" x14ac:dyDescent="0.25">
      <c r="A20" s="69" t="s">
        <v>36</v>
      </c>
      <c r="B20" s="70"/>
      <c r="C20" s="16">
        <v>17140</v>
      </c>
      <c r="D20" s="22"/>
      <c r="E20" s="70"/>
      <c r="F20" s="70"/>
      <c r="G20" s="41"/>
      <c r="H20" s="20"/>
      <c r="I20" s="21"/>
      <c r="J20" s="17"/>
      <c r="K20" s="17"/>
      <c r="L20" s="17"/>
      <c r="M20" s="17"/>
      <c r="N20" s="17"/>
      <c r="O20" s="17"/>
      <c r="P20" s="5"/>
      <c r="Q20" s="5"/>
    </row>
    <row r="21" spans="1:17" ht="15" customHeight="1" x14ac:dyDescent="0.25">
      <c r="A21" s="53" t="s">
        <v>13</v>
      </c>
      <c r="B21" s="54"/>
      <c r="C21" s="16">
        <v>23917.32</v>
      </c>
      <c r="D21" s="22"/>
      <c r="E21" s="101"/>
      <c r="F21" s="101"/>
      <c r="G21" s="41"/>
      <c r="H21" s="20"/>
      <c r="I21" s="21"/>
      <c r="J21" s="17"/>
      <c r="K21" s="17"/>
      <c r="L21" s="17"/>
      <c r="M21" s="17"/>
      <c r="N21" s="17"/>
      <c r="O21" s="17"/>
      <c r="P21" s="5"/>
      <c r="Q21" s="5"/>
    </row>
    <row r="22" spans="1:17" ht="15" customHeight="1" x14ac:dyDescent="0.25">
      <c r="A22" s="100" t="s">
        <v>14</v>
      </c>
      <c r="B22" s="101"/>
      <c r="C22" s="16">
        <v>248683.92</v>
      </c>
      <c r="D22" s="22"/>
      <c r="E22" s="101"/>
      <c r="F22" s="101"/>
      <c r="G22" s="41"/>
      <c r="H22" s="20"/>
      <c r="I22" s="21"/>
      <c r="J22" s="17"/>
      <c r="K22" s="17"/>
      <c r="L22" s="17"/>
      <c r="M22" s="17"/>
      <c r="N22" s="17"/>
      <c r="O22" s="17"/>
      <c r="P22" s="5"/>
      <c r="Q22" s="5"/>
    </row>
    <row r="23" spans="1:17" ht="15" customHeight="1" x14ac:dyDescent="0.25">
      <c r="A23" s="100" t="s">
        <v>12</v>
      </c>
      <c r="B23" s="101"/>
      <c r="C23" s="16">
        <v>114061.22</v>
      </c>
      <c r="D23" s="22"/>
      <c r="E23" s="54"/>
      <c r="F23" s="54"/>
      <c r="G23" s="41"/>
      <c r="H23" s="20"/>
      <c r="I23" s="21"/>
      <c r="J23" s="17"/>
      <c r="K23" s="17"/>
      <c r="L23" s="17"/>
      <c r="M23" s="17"/>
      <c r="N23" s="17"/>
      <c r="O23" s="17"/>
      <c r="P23" s="5"/>
      <c r="Q23" s="5"/>
    </row>
    <row r="24" spans="1:17" ht="15" customHeight="1" x14ac:dyDescent="0.25">
      <c r="A24" s="57" t="s">
        <v>19</v>
      </c>
      <c r="B24" s="58"/>
      <c r="C24" s="16">
        <v>6583.8</v>
      </c>
      <c r="D24" s="22"/>
      <c r="E24" s="101"/>
      <c r="F24" s="101"/>
      <c r="G24" s="41"/>
      <c r="H24" s="20"/>
      <c r="I24" s="21"/>
      <c r="J24" s="17"/>
      <c r="K24" s="17"/>
      <c r="L24" s="17"/>
      <c r="M24" s="17"/>
      <c r="N24" s="17"/>
      <c r="O24" s="17"/>
      <c r="P24" s="5"/>
      <c r="Q24" s="5"/>
    </row>
    <row r="25" spans="1:17" ht="15" customHeight="1" x14ac:dyDescent="0.25">
      <c r="A25" s="57" t="s">
        <v>52</v>
      </c>
      <c r="B25" s="58"/>
      <c r="C25" s="16">
        <v>357454.92</v>
      </c>
      <c r="D25" s="22"/>
      <c r="E25" s="54"/>
      <c r="F25" s="54"/>
      <c r="G25" s="41"/>
      <c r="H25" s="20"/>
      <c r="I25" s="21"/>
      <c r="J25" s="17"/>
      <c r="K25" s="17"/>
      <c r="L25" s="17"/>
      <c r="M25" s="17"/>
      <c r="N25" s="17"/>
      <c r="O25" s="17"/>
      <c r="P25" s="5"/>
      <c r="Q25" s="5"/>
    </row>
    <row r="26" spans="1:17" ht="15" customHeight="1" x14ac:dyDescent="0.25">
      <c r="A26" s="84" t="s">
        <v>65</v>
      </c>
      <c r="B26" s="85"/>
      <c r="C26" s="16">
        <v>251909.7</v>
      </c>
      <c r="D26" s="22"/>
      <c r="E26" s="83"/>
      <c r="F26" s="83"/>
      <c r="G26" s="41"/>
      <c r="H26" s="20"/>
      <c r="I26" s="21"/>
      <c r="J26" s="17"/>
      <c r="K26" s="17"/>
      <c r="L26" s="17"/>
      <c r="M26" s="17"/>
      <c r="N26" s="17"/>
      <c r="O26" s="17"/>
      <c r="P26" s="5"/>
      <c r="Q26" s="5"/>
    </row>
    <row r="27" spans="1:17" ht="15" customHeight="1" x14ac:dyDescent="0.25">
      <c r="A27" s="100" t="s">
        <v>16</v>
      </c>
      <c r="B27" s="101"/>
      <c r="C27" s="16">
        <v>156160.85999999999</v>
      </c>
      <c r="D27" s="22"/>
      <c r="E27" s="101"/>
      <c r="F27" s="101"/>
      <c r="G27" s="41"/>
      <c r="H27" s="20"/>
      <c r="I27" s="21"/>
      <c r="J27" s="17"/>
      <c r="K27" s="17"/>
      <c r="L27" s="17"/>
      <c r="M27" s="17"/>
      <c r="N27" s="17"/>
      <c r="O27" s="17"/>
      <c r="P27" s="5"/>
      <c r="Q27" s="5"/>
    </row>
    <row r="28" spans="1:17" ht="15" customHeight="1" thickBot="1" x14ac:dyDescent="0.3">
      <c r="A28" s="59" t="s">
        <v>17</v>
      </c>
      <c r="B28" s="60"/>
      <c r="C28" s="24">
        <v>333326.89</v>
      </c>
      <c r="D28" s="22"/>
      <c r="E28" s="54"/>
      <c r="F28" s="54"/>
      <c r="G28" s="41"/>
      <c r="H28" s="20"/>
      <c r="I28" s="21"/>
      <c r="J28" s="17"/>
      <c r="K28" s="17"/>
      <c r="L28" s="17"/>
      <c r="M28" s="17"/>
      <c r="N28" s="17"/>
      <c r="O28" s="17"/>
      <c r="P28" s="5"/>
      <c r="Q28" s="5"/>
    </row>
    <row r="29" spans="1:17" ht="15" customHeight="1" thickBot="1" x14ac:dyDescent="0.3">
      <c r="A29" s="106" t="s">
        <v>7</v>
      </c>
      <c r="B29" s="107"/>
      <c r="C29" s="28">
        <f>SUM(C17:C28)-C26</f>
        <v>1458310.9116666669</v>
      </c>
      <c r="D29" s="22"/>
      <c r="E29" s="116"/>
      <c r="F29" s="116"/>
      <c r="G29" s="42"/>
      <c r="H29" s="21">
        <f>C29+C74+C128+C168+C214+C262+C312+C360+C412+C455+C505+C551+C599+C648+C697+C745+C791+C840+C887+C932</f>
        <v>61822535.521666676</v>
      </c>
      <c r="I29" s="21">
        <f>141672304.9-16063416.64-7743356.98-15581045.28-37213918.59-20636171.77+7444825.39+13867520.94</f>
        <v>65746741.969999999</v>
      </c>
      <c r="J29" s="17"/>
      <c r="K29" s="17"/>
      <c r="L29" s="17"/>
      <c r="M29" s="17"/>
      <c r="N29" s="17"/>
      <c r="O29" s="17"/>
      <c r="P29" s="5"/>
      <c r="Q29" s="5"/>
    </row>
    <row r="30" spans="1:17" ht="5.25" customHeight="1" thickBot="1" x14ac:dyDescent="0.3">
      <c r="A30" s="55"/>
      <c r="B30" s="56"/>
      <c r="C30" s="28"/>
      <c r="D30" s="22"/>
      <c r="E30" s="66"/>
      <c r="F30" s="66"/>
      <c r="G30" s="42"/>
      <c r="H30" s="20"/>
      <c r="I30" s="21"/>
      <c r="J30" s="17"/>
      <c r="K30" s="17"/>
      <c r="L30" s="17"/>
      <c r="M30" s="17"/>
      <c r="N30" s="17"/>
      <c r="O30" s="17"/>
      <c r="P30" s="5"/>
      <c r="Q30" s="5"/>
    </row>
    <row r="31" spans="1:17" ht="18.75" customHeight="1" x14ac:dyDescent="0.25">
      <c r="A31" s="65"/>
      <c r="B31" s="65"/>
      <c r="C31" s="42"/>
      <c r="D31" s="22"/>
      <c r="E31" s="66"/>
      <c r="F31" s="66"/>
      <c r="G31" s="42"/>
      <c r="H31" s="20"/>
      <c r="I31" s="21"/>
      <c r="J31" s="17"/>
      <c r="K31" s="17"/>
      <c r="L31" s="17"/>
      <c r="M31" s="17"/>
      <c r="N31" s="17"/>
      <c r="O31" s="17"/>
      <c r="P31" s="5"/>
      <c r="Q31" s="5"/>
    </row>
    <row r="32" spans="1:17" ht="18.75" customHeight="1" x14ac:dyDescent="0.25">
      <c r="A32" s="54" t="s">
        <v>49</v>
      </c>
      <c r="B32" s="65"/>
      <c r="C32" s="52" t="s">
        <v>50</v>
      </c>
      <c r="D32" s="22"/>
      <c r="E32" s="66"/>
      <c r="F32" s="66"/>
      <c r="G32" s="42"/>
      <c r="H32" s="20"/>
      <c r="I32" s="21"/>
      <c r="J32" s="17"/>
      <c r="K32" s="17"/>
      <c r="L32" s="17"/>
      <c r="M32" s="17"/>
      <c r="N32" s="17"/>
      <c r="O32" s="17"/>
      <c r="P32" s="5"/>
      <c r="Q32" s="5"/>
    </row>
    <row r="33" spans="1:17" ht="18.75" customHeight="1" x14ac:dyDescent="0.25">
      <c r="A33" s="65"/>
      <c r="B33" s="65"/>
      <c r="C33" s="42"/>
      <c r="D33" s="22"/>
      <c r="E33" s="66"/>
      <c r="F33" s="66"/>
      <c r="G33" s="42"/>
      <c r="H33" s="20"/>
      <c r="I33" s="21"/>
      <c r="J33" s="17"/>
      <c r="K33" s="17"/>
      <c r="L33" s="17"/>
      <c r="M33" s="17"/>
      <c r="N33" s="17"/>
      <c r="O33" s="17"/>
      <c r="P33" s="5"/>
      <c r="Q33" s="5"/>
    </row>
    <row r="34" spans="1:17" ht="18.75" customHeight="1" x14ac:dyDescent="0.25">
      <c r="A34" s="65"/>
      <c r="B34" s="65"/>
      <c r="C34" s="42"/>
      <c r="D34" s="22"/>
      <c r="E34" s="66"/>
      <c r="F34" s="66"/>
      <c r="G34" s="42"/>
      <c r="H34" s="20"/>
      <c r="I34" s="21"/>
      <c r="J34" s="17"/>
      <c r="K34" s="17"/>
      <c r="L34" s="17"/>
      <c r="M34" s="17"/>
      <c r="N34" s="17"/>
      <c r="O34" s="17"/>
      <c r="P34" s="5"/>
      <c r="Q34" s="5"/>
    </row>
    <row r="35" spans="1:17" ht="18.75" customHeight="1" x14ac:dyDescent="0.25">
      <c r="A35" s="65"/>
      <c r="B35" s="65"/>
      <c r="C35" s="42"/>
      <c r="D35" s="22"/>
      <c r="E35" s="66"/>
      <c r="F35" s="66"/>
      <c r="G35" s="42"/>
      <c r="H35" s="20"/>
      <c r="I35" s="21"/>
      <c r="J35" s="17"/>
      <c r="K35" s="17"/>
      <c r="L35" s="17"/>
      <c r="M35" s="17"/>
      <c r="N35" s="17"/>
      <c r="O35" s="17"/>
      <c r="P35" s="5"/>
      <c r="Q35" s="5"/>
    </row>
    <row r="36" spans="1:17" ht="18.75" customHeight="1" x14ac:dyDescent="0.25">
      <c r="A36" s="65"/>
      <c r="B36" s="65"/>
      <c r="C36" s="42"/>
      <c r="D36" s="22"/>
      <c r="E36" s="66"/>
      <c r="F36" s="66"/>
      <c r="G36" s="42"/>
      <c r="H36" s="20"/>
      <c r="I36" s="21"/>
      <c r="J36" s="17"/>
      <c r="K36" s="17"/>
      <c r="L36" s="17"/>
      <c r="M36" s="17"/>
      <c r="N36" s="17"/>
      <c r="O36" s="17"/>
      <c r="P36" s="5"/>
      <c r="Q36" s="5"/>
    </row>
    <row r="37" spans="1:17" ht="21" customHeight="1" x14ac:dyDescent="0.25">
      <c r="A37" s="65"/>
      <c r="B37" s="65"/>
      <c r="C37" s="42"/>
      <c r="D37" s="22"/>
      <c r="E37" s="66"/>
      <c r="F37" s="66"/>
      <c r="G37" s="42"/>
      <c r="H37" s="20"/>
      <c r="I37" s="21"/>
      <c r="J37" s="17"/>
      <c r="K37" s="17"/>
      <c r="L37" s="17"/>
      <c r="M37" s="17"/>
      <c r="N37" s="17"/>
      <c r="O37" s="17"/>
      <c r="P37" s="5"/>
      <c r="Q37" s="5"/>
    </row>
    <row r="38" spans="1:17" ht="21" customHeight="1" x14ac:dyDescent="0.25">
      <c r="A38" s="65"/>
      <c r="B38" s="65"/>
      <c r="C38" s="42"/>
      <c r="D38" s="22"/>
      <c r="E38" s="66"/>
      <c r="F38" s="66"/>
      <c r="G38" s="42"/>
      <c r="H38" s="20"/>
      <c r="I38" s="21"/>
      <c r="J38" s="17"/>
      <c r="K38" s="17"/>
      <c r="L38" s="17"/>
      <c r="M38" s="17"/>
      <c r="N38" s="17"/>
      <c r="O38" s="17"/>
      <c r="P38" s="5"/>
      <c r="Q38" s="5"/>
    </row>
    <row r="39" spans="1:17" ht="21" customHeight="1" x14ac:dyDescent="0.25">
      <c r="A39" s="65"/>
      <c r="B39" s="65"/>
      <c r="C39" s="42"/>
      <c r="D39" s="22"/>
      <c r="E39" s="66"/>
      <c r="F39" s="66"/>
      <c r="G39" s="42"/>
      <c r="H39" s="20"/>
      <c r="I39" s="21"/>
      <c r="J39" s="17"/>
      <c r="K39" s="17"/>
      <c r="L39" s="17"/>
      <c r="M39" s="17"/>
      <c r="N39" s="17"/>
      <c r="O39" s="17"/>
      <c r="P39" s="5"/>
      <c r="Q39" s="5"/>
    </row>
    <row r="40" spans="1:17" ht="21" customHeight="1" x14ac:dyDescent="0.25">
      <c r="A40" s="65"/>
      <c r="B40" s="65"/>
      <c r="C40" s="42"/>
      <c r="D40" s="22"/>
      <c r="E40" s="66"/>
      <c r="F40" s="66"/>
      <c r="G40" s="42"/>
      <c r="H40" s="20"/>
      <c r="I40" s="21"/>
      <c r="J40" s="17"/>
      <c r="K40" s="17"/>
      <c r="L40" s="17"/>
      <c r="M40" s="17"/>
      <c r="N40" s="17"/>
      <c r="O40" s="17"/>
      <c r="P40" s="5"/>
      <c r="Q40" s="5"/>
    </row>
    <row r="41" spans="1:17" ht="21" customHeight="1" x14ac:dyDescent="0.25">
      <c r="A41" s="65"/>
      <c r="B41" s="65"/>
      <c r="C41" s="42"/>
      <c r="D41" s="22"/>
      <c r="E41" s="66"/>
      <c r="F41" s="66"/>
      <c r="G41" s="42"/>
      <c r="H41" s="20"/>
      <c r="I41" s="21"/>
      <c r="J41" s="17"/>
      <c r="K41" s="17"/>
      <c r="L41" s="17"/>
      <c r="M41" s="17"/>
      <c r="N41" s="17"/>
      <c r="O41" s="17"/>
      <c r="P41" s="5"/>
      <c r="Q41" s="5"/>
    </row>
    <row r="42" spans="1:17" ht="21" customHeight="1" x14ac:dyDescent="0.25">
      <c r="A42" s="65"/>
      <c r="B42" s="65"/>
      <c r="C42" s="42"/>
      <c r="D42" s="22"/>
      <c r="E42" s="66"/>
      <c r="F42" s="66"/>
      <c r="G42" s="42"/>
      <c r="H42" s="20"/>
      <c r="I42" s="21"/>
      <c r="J42" s="17"/>
      <c r="K42" s="17"/>
      <c r="L42" s="17"/>
      <c r="M42" s="17"/>
      <c r="N42" s="17"/>
      <c r="O42" s="17"/>
      <c r="P42" s="5"/>
      <c r="Q42" s="5"/>
    </row>
    <row r="43" spans="1:17" ht="21" customHeight="1" x14ac:dyDescent="0.25">
      <c r="A43" s="65"/>
      <c r="B43" s="65"/>
      <c r="C43" s="42"/>
      <c r="D43" s="22"/>
      <c r="E43" s="66"/>
      <c r="F43" s="66"/>
      <c r="G43" s="42"/>
      <c r="H43" s="20"/>
      <c r="I43" s="21"/>
      <c r="J43" s="17"/>
      <c r="K43" s="17"/>
      <c r="L43" s="17"/>
      <c r="M43" s="17"/>
      <c r="N43" s="17"/>
      <c r="O43" s="17"/>
      <c r="P43" s="5"/>
      <c r="Q43" s="5"/>
    </row>
    <row r="44" spans="1:17" ht="21" customHeight="1" x14ac:dyDescent="0.25">
      <c r="A44" s="73"/>
      <c r="B44" s="73"/>
      <c r="C44" s="42"/>
      <c r="D44" s="22"/>
      <c r="E44" s="74"/>
      <c r="F44" s="74"/>
      <c r="G44" s="42"/>
      <c r="H44" s="20"/>
      <c r="I44" s="21"/>
      <c r="J44" s="17"/>
      <c r="K44" s="17"/>
      <c r="L44" s="17"/>
      <c r="M44" s="17"/>
      <c r="N44" s="17"/>
      <c r="O44" s="17"/>
      <c r="P44" s="5"/>
      <c r="Q44" s="5"/>
    </row>
    <row r="45" spans="1:17" ht="21" customHeight="1" x14ac:dyDescent="0.25">
      <c r="A45" s="80"/>
      <c r="B45" s="80"/>
      <c r="C45" s="42"/>
      <c r="D45" s="22"/>
      <c r="E45" s="79"/>
      <c r="F45" s="79"/>
      <c r="G45" s="42"/>
      <c r="H45" s="20"/>
      <c r="I45" s="21"/>
      <c r="J45" s="17"/>
      <c r="K45" s="17"/>
      <c r="L45" s="17"/>
      <c r="M45" s="17"/>
      <c r="N45" s="17"/>
      <c r="O45" s="17"/>
      <c r="P45" s="5"/>
      <c r="Q45" s="5"/>
    </row>
    <row r="46" spans="1:17" ht="21" customHeight="1" x14ac:dyDescent="0.25">
      <c r="A46" s="65"/>
      <c r="B46" s="65"/>
      <c r="C46" s="2" t="s">
        <v>47</v>
      </c>
      <c r="D46" s="22"/>
      <c r="E46" s="66"/>
      <c r="F46" s="66"/>
      <c r="G46" s="42"/>
      <c r="H46" s="20"/>
      <c r="I46" s="21"/>
      <c r="J46" s="17"/>
      <c r="K46" s="17"/>
      <c r="L46" s="17"/>
      <c r="M46" s="17"/>
      <c r="N46" s="17"/>
      <c r="O46" s="17"/>
      <c r="P46" s="5"/>
      <c r="Q46" s="5"/>
    </row>
    <row r="47" spans="1:17" ht="21" customHeight="1" x14ac:dyDescent="0.25">
      <c r="A47" s="65"/>
      <c r="B47" s="65"/>
      <c r="C47" s="51" t="s">
        <v>48</v>
      </c>
      <c r="D47" s="22"/>
      <c r="E47" s="66"/>
      <c r="F47" s="66"/>
      <c r="G47" s="42"/>
      <c r="H47" s="20"/>
      <c r="I47" s="21"/>
      <c r="J47" s="17"/>
      <c r="K47" s="17"/>
      <c r="L47" s="17"/>
      <c r="M47" s="17"/>
      <c r="N47" s="17"/>
      <c r="O47" s="17"/>
      <c r="P47" s="5"/>
      <c r="Q47" s="5"/>
    </row>
    <row r="48" spans="1:17" ht="21" customHeight="1" x14ac:dyDescent="0.25">
      <c r="A48" s="65"/>
      <c r="B48" s="65"/>
      <c r="C48" s="50"/>
      <c r="D48" s="22"/>
      <c r="E48" s="66"/>
      <c r="F48" s="66"/>
      <c r="G48" s="42"/>
      <c r="H48" s="20"/>
      <c r="I48" s="21"/>
      <c r="J48" s="17"/>
      <c r="K48" s="17"/>
      <c r="L48" s="17"/>
      <c r="M48" s="17"/>
      <c r="N48" s="17"/>
      <c r="O48" s="17"/>
      <c r="P48" s="5"/>
      <c r="Q48" s="5"/>
    </row>
    <row r="49" spans="1:17" ht="21" customHeight="1" x14ac:dyDescent="0.25">
      <c r="A49" s="65"/>
      <c r="B49" s="65"/>
      <c r="C49" s="42"/>
      <c r="D49" s="22"/>
      <c r="E49" s="66"/>
      <c r="F49" s="66"/>
      <c r="G49" s="42"/>
      <c r="H49" s="20"/>
      <c r="I49" s="21"/>
      <c r="J49" s="17"/>
      <c r="K49" s="17"/>
      <c r="L49" s="17"/>
      <c r="M49" s="17"/>
      <c r="N49" s="17"/>
      <c r="O49" s="17"/>
      <c r="P49" s="5"/>
      <c r="Q49" s="5"/>
    </row>
    <row r="50" spans="1:17" ht="16.5" thickBot="1" x14ac:dyDescent="0.3"/>
    <row r="51" spans="1:17" ht="16.5" thickBot="1" x14ac:dyDescent="0.3">
      <c r="A51" s="7" t="s">
        <v>35</v>
      </c>
      <c r="B51" s="8"/>
      <c r="C51" s="9" t="s">
        <v>62</v>
      </c>
      <c r="D51" s="2"/>
      <c r="E51" s="2"/>
      <c r="F51" s="2"/>
      <c r="G51" s="2"/>
      <c r="H51" s="6"/>
    </row>
    <row r="52" spans="1:17" x14ac:dyDescent="0.25">
      <c r="A52" s="29" t="s">
        <v>1</v>
      </c>
      <c r="B52" s="30"/>
      <c r="C52" s="37"/>
      <c r="D52" s="2"/>
      <c r="E52" s="2"/>
      <c r="F52" s="2"/>
      <c r="G52" s="2"/>
      <c r="H52" s="6"/>
    </row>
    <row r="53" spans="1:17" x14ac:dyDescent="0.25">
      <c r="A53" s="13" t="s">
        <v>63</v>
      </c>
      <c r="B53" s="38"/>
      <c r="C53" s="15">
        <f>(819728.55-83264.28-81906.76)/1.2+83264.28+81906.76</f>
        <v>710635.63166666671</v>
      </c>
      <c r="D53" s="2"/>
      <c r="E53" s="2"/>
      <c r="F53" s="2"/>
      <c r="G53" s="2"/>
      <c r="H53" s="6"/>
    </row>
    <row r="54" spans="1:17" x14ac:dyDescent="0.25">
      <c r="A54" s="13" t="s">
        <v>2</v>
      </c>
      <c r="B54" s="14"/>
      <c r="C54" s="15">
        <f>1682.86/1.2+83264.28+84587.91/1.2</f>
        <v>155156.58833333332</v>
      </c>
      <c r="D54" s="2"/>
      <c r="E54" s="2"/>
      <c r="F54" s="2"/>
      <c r="G54" s="2"/>
      <c r="H54" s="6"/>
    </row>
    <row r="55" spans="1:17" x14ac:dyDescent="0.25">
      <c r="A55" s="100" t="s">
        <v>3</v>
      </c>
      <c r="B55" s="101"/>
      <c r="C55" s="16">
        <f>723141.84+638368.98/1.2</f>
        <v>1255115.99</v>
      </c>
      <c r="D55" s="2"/>
      <c r="E55" s="2"/>
      <c r="F55" s="2"/>
      <c r="G55" s="2"/>
      <c r="H55" s="6"/>
    </row>
    <row r="56" spans="1:17" x14ac:dyDescent="0.25">
      <c r="A56" s="100" t="s">
        <v>60</v>
      </c>
      <c r="B56" s="101"/>
      <c r="C56" s="16">
        <f>111940.2+98817.54/1.2</f>
        <v>194288.15</v>
      </c>
      <c r="D56" s="2"/>
      <c r="E56" s="2"/>
      <c r="F56" s="2"/>
      <c r="G56" s="2"/>
      <c r="H56" s="23"/>
    </row>
    <row r="57" spans="1:17" x14ac:dyDescent="0.25">
      <c r="A57" s="53" t="s">
        <v>4</v>
      </c>
      <c r="B57" s="54"/>
      <c r="C57" s="16">
        <v>215300</v>
      </c>
      <c r="D57" s="2"/>
      <c r="E57" s="2"/>
      <c r="F57" s="2"/>
      <c r="G57" s="2"/>
      <c r="H57" s="23"/>
    </row>
    <row r="58" spans="1:17" x14ac:dyDescent="0.25">
      <c r="A58" s="53" t="s">
        <v>6</v>
      </c>
      <c r="B58" s="54"/>
      <c r="C58" s="16">
        <f>37895/1.2</f>
        <v>31579.166666666668</v>
      </c>
      <c r="D58" s="2"/>
      <c r="E58" s="2"/>
      <c r="F58" s="2"/>
      <c r="G58" s="2"/>
    </row>
    <row r="59" spans="1:17" x14ac:dyDescent="0.25">
      <c r="A59" s="13" t="s">
        <v>7</v>
      </c>
      <c r="B59" s="18"/>
      <c r="C59" s="19">
        <f>SUM(C55:C58)</f>
        <v>1696283.3066666666</v>
      </c>
      <c r="D59" s="2"/>
      <c r="E59" s="22"/>
      <c r="F59" s="22"/>
      <c r="G59" s="22">
        <f>C59-C74</f>
        <v>90247.260000000242</v>
      </c>
    </row>
    <row r="60" spans="1:17" x14ac:dyDescent="0.25">
      <c r="A60" s="13"/>
      <c r="B60" s="18"/>
      <c r="C60" s="19"/>
      <c r="D60" s="2"/>
      <c r="E60" s="22"/>
      <c r="F60" s="22"/>
      <c r="G60" s="22"/>
    </row>
    <row r="61" spans="1:17" x14ac:dyDescent="0.25">
      <c r="A61" s="108" t="s">
        <v>8</v>
      </c>
      <c r="B61" s="109"/>
      <c r="C61" s="12"/>
      <c r="E61" s="22"/>
      <c r="F61" s="22"/>
      <c r="G61" s="22"/>
      <c r="H61" s="4"/>
    </row>
    <row r="62" spans="1:17" ht="15" customHeight="1" x14ac:dyDescent="0.25">
      <c r="A62" s="102" t="s">
        <v>9</v>
      </c>
      <c r="B62" s="103"/>
      <c r="C62" s="16">
        <f>52015.47+16000+184102.8</f>
        <v>252118.27</v>
      </c>
      <c r="D62" s="22"/>
      <c r="E62" s="101"/>
      <c r="F62" s="101"/>
      <c r="G62" s="41"/>
      <c r="H62" s="20"/>
      <c r="I62" s="21"/>
      <c r="J62" s="17"/>
      <c r="K62" s="17"/>
      <c r="L62" s="17"/>
      <c r="M62" s="17"/>
      <c r="N62" s="17"/>
      <c r="O62" s="17"/>
      <c r="P62" s="5"/>
      <c r="Q62" s="5"/>
    </row>
    <row r="63" spans="1:17" ht="15" customHeight="1" x14ac:dyDescent="0.25">
      <c r="A63" s="69" t="s">
        <v>10</v>
      </c>
      <c r="B63" s="70"/>
      <c r="C63" s="16">
        <f>7649.66/1.2</f>
        <v>6374.7166666666672</v>
      </c>
      <c r="D63" s="22"/>
      <c r="E63" s="70"/>
      <c r="F63" s="70"/>
      <c r="G63" s="41"/>
      <c r="H63" s="20"/>
      <c r="I63" s="21"/>
      <c r="J63" s="17"/>
      <c r="K63" s="17"/>
      <c r="L63" s="17"/>
      <c r="M63" s="17"/>
      <c r="N63" s="17"/>
      <c r="O63" s="17"/>
      <c r="P63" s="5"/>
      <c r="Q63" s="5"/>
    </row>
    <row r="64" spans="1:17" ht="15" customHeight="1" x14ac:dyDescent="0.25">
      <c r="A64" s="53" t="s">
        <v>11</v>
      </c>
      <c r="B64" s="54"/>
      <c r="C64" s="16">
        <f>4831.5</f>
        <v>4831.5</v>
      </c>
      <c r="D64" s="22"/>
      <c r="E64" s="101"/>
      <c r="F64" s="101"/>
      <c r="G64" s="41"/>
      <c r="H64" s="20"/>
      <c r="I64" s="21"/>
      <c r="J64" s="17"/>
      <c r="K64" s="17"/>
      <c r="L64" s="17"/>
      <c r="M64" s="17"/>
      <c r="N64" s="17"/>
      <c r="O64" s="17"/>
      <c r="P64" s="5"/>
      <c r="Q64" s="5"/>
    </row>
    <row r="65" spans="1:17" ht="15" customHeight="1" x14ac:dyDescent="0.25">
      <c r="A65" s="86" t="s">
        <v>64</v>
      </c>
      <c r="B65" s="87"/>
      <c r="C65" s="16">
        <v>760</v>
      </c>
      <c r="D65" s="22"/>
      <c r="E65" s="87"/>
      <c r="F65" s="87"/>
      <c r="G65" s="41"/>
      <c r="H65" s="20"/>
      <c r="I65" s="21"/>
      <c r="J65" s="17"/>
      <c r="K65" s="17"/>
      <c r="L65" s="17"/>
      <c r="M65" s="17"/>
      <c r="N65" s="17"/>
      <c r="O65" s="17"/>
      <c r="P65" s="5"/>
      <c r="Q65" s="5"/>
    </row>
    <row r="66" spans="1:17" ht="15" customHeight="1" x14ac:dyDescent="0.25">
      <c r="A66" s="69" t="s">
        <v>56</v>
      </c>
      <c r="B66" s="70"/>
      <c r="C66" s="16">
        <f>1277+730+4000</f>
        <v>6007</v>
      </c>
      <c r="D66" s="22"/>
      <c r="E66" s="70"/>
      <c r="F66" s="70"/>
      <c r="G66" s="41"/>
      <c r="H66" s="20"/>
      <c r="I66" s="21"/>
      <c r="J66" s="17"/>
      <c r="K66" s="17"/>
      <c r="L66" s="17"/>
      <c r="M66" s="17"/>
      <c r="N66" s="17"/>
      <c r="O66" s="17"/>
      <c r="P66" s="5"/>
      <c r="Q66" s="5"/>
    </row>
    <row r="67" spans="1:17" ht="15" customHeight="1" x14ac:dyDescent="0.25">
      <c r="A67" s="53" t="s">
        <v>13</v>
      </c>
      <c r="B67" s="54"/>
      <c r="C67" s="16">
        <v>24832.44</v>
      </c>
      <c r="D67" s="22"/>
      <c r="E67" s="54"/>
      <c r="F67" s="54"/>
      <c r="G67" s="41"/>
      <c r="H67" s="20"/>
      <c r="I67" s="21"/>
      <c r="J67" s="17"/>
      <c r="K67" s="17"/>
      <c r="L67" s="17"/>
      <c r="M67" s="17"/>
      <c r="N67" s="17"/>
      <c r="O67" s="17"/>
      <c r="P67" s="5"/>
      <c r="Q67" s="5"/>
    </row>
    <row r="68" spans="1:17" ht="15" customHeight="1" x14ac:dyDescent="0.25">
      <c r="A68" s="100" t="s">
        <v>14</v>
      </c>
      <c r="B68" s="101"/>
      <c r="C68" s="16">
        <v>272427.59999999998</v>
      </c>
      <c r="D68" s="22"/>
      <c r="E68" s="101"/>
      <c r="F68" s="101"/>
      <c r="G68" s="41"/>
      <c r="H68" s="20"/>
      <c r="I68" s="21"/>
      <c r="J68" s="17"/>
      <c r="K68" s="17"/>
      <c r="L68" s="17"/>
      <c r="M68" s="17"/>
      <c r="N68" s="17"/>
      <c r="O68" s="17"/>
      <c r="P68" s="5"/>
      <c r="Q68" s="5"/>
    </row>
    <row r="69" spans="1:17" ht="15" customHeight="1" x14ac:dyDescent="0.25">
      <c r="A69" s="100" t="s">
        <v>12</v>
      </c>
      <c r="B69" s="101"/>
      <c r="C69" s="16">
        <f>775+125113.28</f>
        <v>125888.28</v>
      </c>
      <c r="D69" s="22"/>
      <c r="E69" s="101"/>
      <c r="F69" s="101"/>
      <c r="G69" s="41"/>
      <c r="H69" s="20"/>
      <c r="I69" s="21"/>
      <c r="J69" s="17"/>
      <c r="K69" s="17"/>
      <c r="L69" s="17"/>
      <c r="M69" s="17"/>
      <c r="N69" s="17"/>
      <c r="O69" s="17"/>
      <c r="P69" s="5"/>
      <c r="Q69" s="5"/>
    </row>
    <row r="70" spans="1:17" ht="15" customHeight="1" x14ac:dyDescent="0.25">
      <c r="A70" s="57" t="s">
        <v>19</v>
      </c>
      <c r="B70" s="58"/>
      <c r="C70" s="16">
        <v>7212.36</v>
      </c>
      <c r="D70" s="22"/>
      <c r="E70" s="54"/>
      <c r="F70" s="54"/>
      <c r="G70" s="41"/>
      <c r="H70" s="20"/>
      <c r="I70" s="21"/>
      <c r="J70" s="17"/>
      <c r="K70" s="17"/>
      <c r="L70" s="17"/>
      <c r="M70" s="17"/>
      <c r="N70" s="17"/>
      <c r="O70" s="17"/>
      <c r="P70" s="5"/>
      <c r="Q70" s="5"/>
    </row>
    <row r="71" spans="1:17" ht="15" customHeight="1" x14ac:dyDescent="0.25">
      <c r="A71" s="104" t="s">
        <v>15</v>
      </c>
      <c r="B71" s="105"/>
      <c r="C71" s="16">
        <v>391583.82</v>
      </c>
      <c r="D71" s="22"/>
      <c r="E71" s="54"/>
      <c r="F71" s="54"/>
      <c r="G71" s="41"/>
      <c r="H71" s="20"/>
      <c r="I71" s="21"/>
      <c r="J71" s="17"/>
      <c r="K71" s="17"/>
      <c r="L71" s="17"/>
      <c r="M71" s="17"/>
      <c r="N71" s="17"/>
      <c r="O71" s="17"/>
      <c r="P71" s="5"/>
      <c r="Q71" s="5"/>
    </row>
    <row r="72" spans="1:17" ht="15" customHeight="1" x14ac:dyDescent="0.25">
      <c r="A72" s="100" t="s">
        <v>16</v>
      </c>
      <c r="B72" s="101"/>
      <c r="C72" s="16">
        <f>171070.68</f>
        <v>171070.68</v>
      </c>
      <c r="D72" s="22"/>
      <c r="E72" s="54"/>
      <c r="F72" s="54"/>
      <c r="G72" s="41"/>
      <c r="H72" s="20"/>
      <c r="I72" s="21"/>
      <c r="J72" s="17"/>
      <c r="K72" s="17"/>
      <c r="L72" s="17"/>
      <c r="M72" s="17"/>
      <c r="N72" s="17"/>
      <c r="O72" s="17"/>
      <c r="P72" s="5"/>
      <c r="Q72" s="5"/>
    </row>
    <row r="73" spans="1:17" ht="15" customHeight="1" thickBot="1" x14ac:dyDescent="0.3">
      <c r="A73" s="110" t="s">
        <v>17</v>
      </c>
      <c r="B73" s="111"/>
      <c r="C73" s="24">
        <v>342929.38</v>
      </c>
      <c r="D73" s="22"/>
      <c r="E73" s="116"/>
      <c r="F73" s="116"/>
      <c r="G73" s="42"/>
      <c r="H73" s="20"/>
      <c r="I73" s="21"/>
      <c r="J73" s="17"/>
      <c r="K73" s="17"/>
      <c r="L73" s="17"/>
      <c r="M73" s="17"/>
      <c r="N73" s="17"/>
      <c r="O73" s="17"/>
      <c r="P73" s="5"/>
      <c r="Q73" s="5"/>
    </row>
    <row r="74" spans="1:17" ht="16.5" thickBot="1" x14ac:dyDescent="0.3">
      <c r="A74" s="106" t="s">
        <v>7</v>
      </c>
      <c r="B74" s="107"/>
      <c r="C74" s="28">
        <f>SUM(C62:C73)</f>
        <v>1606036.0466666664</v>
      </c>
      <c r="D74" s="2"/>
      <c r="E74" s="22"/>
      <c r="F74" s="22"/>
      <c r="G74" s="22"/>
      <c r="H74" s="6"/>
    </row>
    <row r="75" spans="1:17" ht="6" customHeight="1" thickBot="1" x14ac:dyDescent="0.3">
      <c r="A75" s="55"/>
      <c r="B75" s="56"/>
      <c r="C75" s="28"/>
      <c r="D75" s="2"/>
      <c r="E75" s="22"/>
      <c r="F75" s="22"/>
      <c r="G75" s="22"/>
      <c r="H75" s="6"/>
    </row>
    <row r="79" spans="1:17" ht="18.75" customHeight="1" x14ac:dyDescent="0.25">
      <c r="A79" s="54" t="s">
        <v>49</v>
      </c>
      <c r="B79" s="65"/>
      <c r="C79" s="52" t="s">
        <v>50</v>
      </c>
      <c r="D79" s="22"/>
      <c r="E79" s="66"/>
      <c r="F79" s="66"/>
      <c r="G79" s="42"/>
      <c r="H79" s="20"/>
      <c r="I79" s="21"/>
      <c r="J79" s="17"/>
      <c r="K79" s="17"/>
      <c r="L79" s="17"/>
      <c r="M79" s="17"/>
      <c r="N79" s="17"/>
      <c r="O79" s="17"/>
      <c r="P79" s="5"/>
      <c r="Q79" s="5"/>
    </row>
    <row r="93" spans="3:3" x14ac:dyDescent="0.25">
      <c r="C93" s="2" t="s">
        <v>47</v>
      </c>
    </row>
    <row r="94" spans="3:3" x14ac:dyDescent="0.25">
      <c r="C94" s="51" t="s">
        <v>48</v>
      </c>
    </row>
    <row r="95" spans="3:3" x14ac:dyDescent="0.25">
      <c r="C95" s="50"/>
    </row>
    <row r="97" spans="1:17" ht="16.5" thickBot="1" x14ac:dyDescent="0.3"/>
    <row r="98" spans="1:17" ht="16.5" thickBot="1" x14ac:dyDescent="0.3">
      <c r="A98" s="7" t="s">
        <v>0</v>
      </c>
      <c r="B98" s="8"/>
      <c r="C98" s="9" t="s">
        <v>62</v>
      </c>
      <c r="H98" s="4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25">
      <c r="A99" s="10" t="s">
        <v>1</v>
      </c>
      <c r="B99" s="11"/>
      <c r="C99" s="12"/>
      <c r="H99" s="4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25">
      <c r="A100" s="13" t="s">
        <v>63</v>
      </c>
      <c r="B100" s="14"/>
      <c r="C100" s="15">
        <f>(1715540.44-287750.93-55840.42-38313.05)/1.2+287750.93+55840.42+38313.05</f>
        <v>1493267.7666666666</v>
      </c>
      <c r="H100" s="4"/>
      <c r="I100" s="5"/>
      <c r="J100" s="5"/>
      <c r="K100" s="5"/>
      <c r="L100" s="5"/>
      <c r="M100" s="5"/>
      <c r="N100" s="5"/>
      <c r="O100" s="5"/>
      <c r="P100" s="5"/>
      <c r="Q100" s="5"/>
    </row>
    <row r="101" spans="1:17" x14ac:dyDescent="0.25">
      <c r="A101" s="13" t="s">
        <v>2</v>
      </c>
      <c r="B101" s="14"/>
      <c r="C101" s="15">
        <f>129058.87/1.2+287750.93+126838.31/1.2</f>
        <v>500998.58</v>
      </c>
      <c r="H101" s="4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25">
      <c r="A102" s="100" t="s">
        <v>3</v>
      </c>
      <c r="B102" s="101"/>
      <c r="C102" s="16">
        <f>1266824.9/1.2+2841545.62+1270672.98/1.2</f>
        <v>4956127.1866666675</v>
      </c>
      <c r="H102" s="4"/>
      <c r="I102" s="5"/>
      <c r="J102" s="5"/>
      <c r="K102" s="5"/>
      <c r="L102" s="5"/>
      <c r="M102" s="5"/>
      <c r="N102" s="5"/>
      <c r="O102" s="5"/>
      <c r="P102" s="5"/>
      <c r="Q102" s="5"/>
    </row>
    <row r="103" spans="1:17" x14ac:dyDescent="0.25">
      <c r="A103" s="100" t="s">
        <v>61</v>
      </c>
      <c r="B103" s="101"/>
      <c r="C103" s="16">
        <f>79107.84/1.2+355764.12+236764.86/1.2</f>
        <v>618991.37</v>
      </c>
      <c r="H103" s="4"/>
      <c r="I103" s="5"/>
      <c r="J103" s="5"/>
      <c r="K103" s="5"/>
      <c r="L103" s="5"/>
      <c r="M103" s="5"/>
      <c r="N103" s="5"/>
      <c r="O103" s="5"/>
      <c r="P103" s="5"/>
      <c r="Q103" s="5"/>
    </row>
    <row r="104" spans="1:17" x14ac:dyDescent="0.25">
      <c r="A104" s="53" t="s">
        <v>4</v>
      </c>
      <c r="B104" s="54"/>
      <c r="C104" s="16">
        <v>179150</v>
      </c>
      <c r="H104" s="4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25">
      <c r="A105" s="53" t="s">
        <v>5</v>
      </c>
      <c r="B105" s="54"/>
      <c r="C105" s="16">
        <f>793800/1.2</f>
        <v>661500</v>
      </c>
      <c r="H105" s="4"/>
      <c r="I105" s="5"/>
      <c r="J105" s="5"/>
      <c r="K105" s="5"/>
      <c r="L105" s="5"/>
      <c r="M105" s="5"/>
      <c r="N105" s="5"/>
      <c r="O105" s="5"/>
      <c r="P105" s="5"/>
      <c r="Q105" s="5"/>
    </row>
    <row r="106" spans="1:17" x14ac:dyDescent="0.25">
      <c r="A106" s="53" t="s">
        <v>51</v>
      </c>
      <c r="B106" s="54"/>
      <c r="C106" s="16">
        <f>39060/1.2</f>
        <v>32550</v>
      </c>
      <c r="H106" s="4"/>
      <c r="I106" s="5"/>
      <c r="J106" s="5"/>
      <c r="K106" s="5"/>
      <c r="L106" s="5"/>
      <c r="M106" s="5"/>
      <c r="N106" s="5"/>
      <c r="O106" s="5"/>
      <c r="P106" s="5"/>
      <c r="Q106" s="5"/>
    </row>
    <row r="107" spans="1:17" x14ac:dyDescent="0.25">
      <c r="A107" s="53" t="s">
        <v>53</v>
      </c>
      <c r="B107" s="54"/>
      <c r="C107" s="16">
        <f>39060/1.2</f>
        <v>32550</v>
      </c>
      <c r="H107" s="4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" customHeight="1" x14ac:dyDescent="0.25">
      <c r="A108" s="53" t="s">
        <v>6</v>
      </c>
      <c r="B108" s="54"/>
      <c r="C108" s="16">
        <f>103680/1.2</f>
        <v>86400</v>
      </c>
      <c r="H108" s="4"/>
      <c r="I108" s="4"/>
      <c r="J108" s="17"/>
      <c r="K108" s="17"/>
      <c r="L108" s="17"/>
      <c r="M108" s="17"/>
      <c r="N108" s="17"/>
      <c r="O108" s="17"/>
      <c r="P108" s="5"/>
      <c r="Q108" s="5"/>
    </row>
    <row r="109" spans="1:17" ht="15" customHeight="1" x14ac:dyDescent="0.25">
      <c r="A109" s="13" t="s">
        <v>7</v>
      </c>
      <c r="B109" s="18"/>
      <c r="C109" s="19">
        <f>SUM(C102:C108)</f>
        <v>6567268.5566666676</v>
      </c>
      <c r="G109" s="3">
        <f>C109-C128</f>
        <v>-165791.51333333366</v>
      </c>
      <c r="H109" s="20"/>
      <c r="I109" s="21"/>
      <c r="J109" s="17"/>
      <c r="K109" s="17"/>
      <c r="L109" s="17"/>
      <c r="M109" s="17"/>
      <c r="N109" s="17"/>
      <c r="O109" s="17"/>
      <c r="P109" s="5"/>
      <c r="Q109" s="5"/>
    </row>
    <row r="110" spans="1:17" ht="15" customHeight="1" x14ac:dyDescent="0.25">
      <c r="A110" s="13"/>
      <c r="B110" s="18"/>
      <c r="C110" s="19"/>
      <c r="H110" s="20"/>
      <c r="I110" s="21"/>
      <c r="J110" s="17"/>
      <c r="K110" s="17"/>
      <c r="L110" s="17"/>
      <c r="M110" s="17"/>
      <c r="N110" s="17"/>
      <c r="O110" s="17"/>
      <c r="P110" s="5"/>
      <c r="Q110" s="5"/>
    </row>
    <row r="111" spans="1:17" ht="15" customHeight="1" x14ac:dyDescent="0.25">
      <c r="A111" s="108" t="s">
        <v>8</v>
      </c>
      <c r="B111" s="109"/>
      <c r="C111" s="12"/>
      <c r="D111" s="22"/>
      <c r="E111" s="22"/>
      <c r="F111" s="22"/>
      <c r="H111" s="20"/>
      <c r="I111" s="21"/>
      <c r="J111" s="17"/>
      <c r="K111" s="17"/>
      <c r="L111" s="17"/>
      <c r="M111" s="17"/>
      <c r="N111" s="17"/>
      <c r="O111" s="17"/>
      <c r="P111" s="5"/>
      <c r="Q111" s="5"/>
    </row>
    <row r="112" spans="1:17" ht="15" customHeight="1" x14ac:dyDescent="0.25">
      <c r="A112" s="102" t="s">
        <v>9</v>
      </c>
      <c r="B112" s="103"/>
      <c r="C112" s="16">
        <f>17972.7+715285.35</f>
        <v>733258.04999999993</v>
      </c>
      <c r="D112" s="22"/>
      <c r="E112" s="22"/>
      <c r="F112" s="22"/>
      <c r="H112" s="20"/>
      <c r="I112" s="21"/>
      <c r="J112" s="17"/>
      <c r="K112" s="17"/>
      <c r="L112" s="17"/>
      <c r="M112" s="17"/>
      <c r="N112" s="17"/>
      <c r="O112" s="17"/>
      <c r="P112" s="5"/>
      <c r="Q112" s="5"/>
    </row>
    <row r="113" spans="1:17" ht="15" customHeight="1" x14ac:dyDescent="0.25">
      <c r="A113" s="100" t="s">
        <v>11</v>
      </c>
      <c r="B113" s="101"/>
      <c r="C113" s="16">
        <v>4831.5</v>
      </c>
      <c r="D113" s="22"/>
      <c r="E113" s="22"/>
      <c r="F113" s="22"/>
      <c r="H113" s="20"/>
      <c r="I113" s="21"/>
      <c r="J113" s="17"/>
      <c r="K113" s="17"/>
      <c r="L113" s="17"/>
      <c r="M113" s="17"/>
      <c r="N113" s="17"/>
      <c r="O113" s="17"/>
      <c r="P113" s="5"/>
      <c r="Q113" s="5"/>
    </row>
    <row r="114" spans="1:17" ht="15" customHeight="1" x14ac:dyDescent="0.25">
      <c r="A114" s="69" t="s">
        <v>54</v>
      </c>
      <c r="B114" s="70"/>
      <c r="C114" s="16">
        <f>40046+99940</f>
        <v>139986</v>
      </c>
      <c r="D114" s="22"/>
      <c r="E114" s="22"/>
      <c r="F114" s="22"/>
      <c r="H114" s="20"/>
      <c r="I114" s="21"/>
      <c r="J114" s="17"/>
      <c r="K114" s="17"/>
      <c r="L114" s="17"/>
      <c r="M114" s="17"/>
      <c r="N114" s="17"/>
      <c r="O114" s="17"/>
      <c r="P114" s="5"/>
      <c r="Q114" s="5"/>
    </row>
    <row r="115" spans="1:17" ht="15" customHeight="1" x14ac:dyDescent="0.25">
      <c r="A115" s="86" t="s">
        <v>64</v>
      </c>
      <c r="B115" s="87"/>
      <c r="C115" s="16">
        <f>22850</f>
        <v>22850</v>
      </c>
      <c r="D115" s="22"/>
      <c r="E115" s="22"/>
      <c r="F115" s="22"/>
      <c r="H115" s="20"/>
      <c r="I115" s="21"/>
      <c r="J115" s="17"/>
      <c r="K115" s="17"/>
      <c r="L115" s="17"/>
      <c r="M115" s="17"/>
      <c r="N115" s="17"/>
      <c r="O115" s="17"/>
      <c r="P115" s="5"/>
      <c r="Q115" s="5"/>
    </row>
    <row r="116" spans="1:17" ht="15" customHeight="1" x14ac:dyDescent="0.25">
      <c r="A116" s="53" t="s">
        <v>26</v>
      </c>
      <c r="B116" s="54"/>
      <c r="C116" s="16">
        <v>20998</v>
      </c>
      <c r="D116" s="22"/>
      <c r="E116" s="22"/>
      <c r="F116" s="22"/>
      <c r="H116" s="20"/>
      <c r="I116" s="21"/>
      <c r="J116" s="17"/>
      <c r="K116" s="17"/>
      <c r="L116" s="17"/>
      <c r="M116" s="17"/>
      <c r="N116" s="17"/>
      <c r="O116" s="17"/>
      <c r="P116" s="5"/>
      <c r="Q116" s="5"/>
    </row>
    <row r="117" spans="1:17" ht="15" customHeight="1" x14ac:dyDescent="0.25">
      <c r="A117" s="53" t="s">
        <v>13</v>
      </c>
      <c r="B117" s="54"/>
      <c r="C117" s="16">
        <v>97509.96</v>
      </c>
      <c r="D117" s="22"/>
      <c r="E117" s="22"/>
      <c r="F117" s="22"/>
      <c r="H117" s="20"/>
      <c r="I117" s="21"/>
      <c r="J117" s="17"/>
      <c r="K117" s="17"/>
      <c r="L117" s="17"/>
      <c r="M117" s="17"/>
      <c r="N117" s="17"/>
      <c r="O117" s="17"/>
      <c r="P117" s="5"/>
      <c r="Q117" s="5"/>
    </row>
    <row r="118" spans="1:17" ht="15" customHeight="1" x14ac:dyDescent="0.25">
      <c r="A118" s="100" t="s">
        <v>14</v>
      </c>
      <c r="B118" s="101"/>
      <c r="C118" s="16">
        <v>1041704.16</v>
      </c>
      <c r="D118" s="22"/>
      <c r="E118" s="22"/>
      <c r="F118" s="22"/>
      <c r="H118" s="20"/>
      <c r="I118" s="21"/>
      <c r="J118" s="17"/>
      <c r="K118" s="17"/>
      <c r="L118" s="17"/>
      <c r="M118" s="17"/>
      <c r="N118" s="17"/>
      <c r="O118" s="17"/>
      <c r="P118" s="5"/>
      <c r="Q118" s="5"/>
    </row>
    <row r="119" spans="1:17" ht="15" customHeight="1" x14ac:dyDescent="0.25">
      <c r="A119" s="53" t="s">
        <v>12</v>
      </c>
      <c r="B119" s="54"/>
      <c r="C119" s="16">
        <v>467513.49</v>
      </c>
      <c r="D119" s="22"/>
      <c r="E119" s="22"/>
      <c r="F119" s="22"/>
      <c r="H119" s="20"/>
      <c r="I119" s="21"/>
      <c r="J119" s="17"/>
      <c r="K119" s="17"/>
      <c r="L119" s="17"/>
      <c r="M119" s="17"/>
      <c r="N119" s="17"/>
      <c r="O119" s="17"/>
      <c r="P119" s="5"/>
      <c r="Q119" s="5"/>
    </row>
    <row r="120" spans="1:17" ht="29.25" customHeight="1" x14ac:dyDescent="0.25">
      <c r="A120" s="112" t="s">
        <v>55</v>
      </c>
      <c r="B120" s="113"/>
      <c r="C120" s="82">
        <v>25542.720000000001</v>
      </c>
      <c r="D120" s="22"/>
      <c r="E120" s="22"/>
      <c r="F120" s="22"/>
      <c r="H120" s="20"/>
      <c r="I120" s="21"/>
      <c r="J120" s="17"/>
      <c r="K120" s="17"/>
      <c r="L120" s="17"/>
      <c r="M120" s="17"/>
      <c r="N120" s="17"/>
      <c r="O120" s="17"/>
      <c r="P120" s="5"/>
      <c r="Q120" s="5"/>
    </row>
    <row r="121" spans="1:17" ht="15" customHeight="1" x14ac:dyDescent="0.25">
      <c r="A121" s="53" t="s">
        <v>5</v>
      </c>
      <c r="B121" s="54"/>
      <c r="C121" s="16">
        <v>661500</v>
      </c>
      <c r="D121" s="22"/>
      <c r="E121" s="22"/>
      <c r="F121" s="22"/>
      <c r="H121" s="20"/>
      <c r="I121" s="21"/>
      <c r="J121" s="17"/>
      <c r="K121" s="17"/>
      <c r="L121" s="17"/>
      <c r="M121" s="17"/>
      <c r="N121" s="17"/>
      <c r="O121" s="17"/>
      <c r="P121" s="5"/>
      <c r="Q121" s="5"/>
    </row>
    <row r="122" spans="1:17" x14ac:dyDescent="0.25">
      <c r="A122" s="104" t="s">
        <v>15</v>
      </c>
      <c r="B122" s="105"/>
      <c r="C122" s="16">
        <v>1497331.5</v>
      </c>
      <c r="H122" s="4"/>
      <c r="I122" s="5"/>
      <c r="J122" s="5"/>
      <c r="K122" s="5"/>
      <c r="L122" s="5"/>
      <c r="M122" s="5"/>
      <c r="N122" s="5"/>
      <c r="O122" s="5"/>
      <c r="P122" s="5"/>
      <c r="Q122" s="5"/>
    </row>
    <row r="123" spans="1:17" x14ac:dyDescent="0.25">
      <c r="A123" s="88" t="s">
        <v>30</v>
      </c>
      <c r="B123" s="89"/>
      <c r="C123" s="16">
        <v>6102</v>
      </c>
      <c r="H123" s="4"/>
      <c r="I123" s="5"/>
      <c r="J123" s="5"/>
      <c r="K123" s="5"/>
      <c r="L123" s="5"/>
      <c r="M123" s="5"/>
      <c r="N123" s="5"/>
      <c r="O123" s="5"/>
      <c r="P123" s="5"/>
      <c r="Q123" s="5"/>
    </row>
    <row r="124" spans="1:17" x14ac:dyDescent="0.25">
      <c r="A124" s="71" t="s">
        <v>65</v>
      </c>
      <c r="B124" s="72"/>
      <c r="C124" s="16">
        <f>6573.15+352135</f>
        <v>358708.15</v>
      </c>
      <c r="H124" s="4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" customHeight="1" x14ac:dyDescent="0.25">
      <c r="A125" s="53" t="s">
        <v>16</v>
      </c>
      <c r="B125" s="54"/>
      <c r="C125" s="16">
        <v>654137.22</v>
      </c>
      <c r="D125" s="22"/>
      <c r="E125" s="22"/>
      <c r="F125" s="22"/>
      <c r="H125" s="23"/>
      <c r="I125" s="21"/>
      <c r="J125" s="17"/>
      <c r="K125" s="17"/>
      <c r="L125" s="17"/>
      <c r="M125" s="17"/>
      <c r="N125" s="17"/>
      <c r="O125" s="17"/>
      <c r="P125" s="5"/>
      <c r="Q125" s="5"/>
    </row>
    <row r="126" spans="1:17" ht="15" customHeight="1" x14ac:dyDescent="0.25">
      <c r="A126" s="53" t="s">
        <v>39</v>
      </c>
      <c r="B126" s="54"/>
      <c r="C126" s="16">
        <v>20856</v>
      </c>
      <c r="D126" s="22"/>
      <c r="E126" s="22"/>
      <c r="F126" s="22"/>
      <c r="H126" s="23"/>
      <c r="I126" s="21"/>
      <c r="J126" s="17"/>
      <c r="K126" s="17"/>
      <c r="L126" s="17"/>
      <c r="M126" s="17"/>
      <c r="N126" s="17"/>
      <c r="O126" s="17"/>
      <c r="P126" s="5"/>
      <c r="Q126" s="5"/>
    </row>
    <row r="127" spans="1:17" ht="15" customHeight="1" thickBot="1" x14ac:dyDescent="0.3">
      <c r="A127" s="110" t="s">
        <v>17</v>
      </c>
      <c r="B127" s="111"/>
      <c r="C127" s="24">
        <v>1332366.32</v>
      </c>
      <c r="D127" s="22"/>
      <c r="E127" s="22"/>
      <c r="F127" s="22"/>
      <c r="H127" s="20"/>
      <c r="I127" s="21"/>
      <c r="J127" s="17"/>
      <c r="K127" s="17"/>
      <c r="L127" s="17"/>
      <c r="M127" s="17"/>
      <c r="N127" s="17"/>
      <c r="O127" s="17"/>
      <c r="P127" s="5"/>
      <c r="Q127" s="5"/>
    </row>
    <row r="128" spans="1:17" ht="15" customHeight="1" thickBot="1" x14ac:dyDescent="0.3">
      <c r="A128" s="118" t="s">
        <v>7</v>
      </c>
      <c r="B128" s="119"/>
      <c r="C128" s="25">
        <f>SUM(C112:C127)-352135</f>
        <v>6733060.0700000012</v>
      </c>
      <c r="D128" s="22"/>
      <c r="E128" s="22"/>
      <c r="F128" s="22"/>
      <c r="H128" s="20"/>
      <c r="I128" s="21"/>
      <c r="J128" s="17"/>
      <c r="K128" s="17"/>
      <c r="L128" s="17"/>
      <c r="M128" s="17"/>
      <c r="N128" s="17"/>
      <c r="O128" s="17"/>
      <c r="P128" s="5"/>
      <c r="Q128" s="5"/>
    </row>
    <row r="132" spans="1:17" ht="18.75" customHeight="1" x14ac:dyDescent="0.25">
      <c r="A132" s="54" t="s">
        <v>49</v>
      </c>
      <c r="B132" s="65"/>
      <c r="C132" s="52" t="s">
        <v>50</v>
      </c>
      <c r="D132" s="22"/>
      <c r="E132" s="66"/>
      <c r="F132" s="66"/>
      <c r="G132" s="42"/>
      <c r="H132" s="20"/>
      <c r="I132" s="21"/>
      <c r="J132" s="17"/>
      <c r="K132" s="17"/>
      <c r="L132" s="17"/>
      <c r="M132" s="17"/>
      <c r="N132" s="17"/>
      <c r="O132" s="17"/>
      <c r="P132" s="5"/>
      <c r="Q132" s="5"/>
    </row>
    <row r="140" spans="1:17" x14ac:dyDescent="0.25">
      <c r="C140" s="2" t="s">
        <v>47</v>
      </c>
    </row>
    <row r="141" spans="1:17" x14ac:dyDescent="0.25">
      <c r="C141" s="51" t="s">
        <v>48</v>
      </c>
    </row>
    <row r="142" spans="1:17" x14ac:dyDescent="0.25">
      <c r="C142" s="50"/>
    </row>
    <row r="143" spans="1:17" ht="16.5" thickBot="1" x14ac:dyDescent="0.3"/>
    <row r="144" spans="1:17" ht="15" customHeight="1" thickBot="1" x14ac:dyDescent="0.3">
      <c r="A144" s="7" t="s">
        <v>18</v>
      </c>
      <c r="B144" s="8"/>
      <c r="C144" s="9" t="s">
        <v>62</v>
      </c>
      <c r="D144" s="22"/>
      <c r="E144" s="22"/>
      <c r="F144" s="22"/>
      <c r="H144" s="20"/>
      <c r="I144" s="21"/>
      <c r="J144" s="17"/>
      <c r="K144" s="17"/>
      <c r="L144" s="17"/>
      <c r="M144" s="17"/>
      <c r="N144" s="17"/>
      <c r="O144" s="17"/>
      <c r="P144" s="5"/>
      <c r="Q144" s="5"/>
    </row>
    <row r="145" spans="1:17" ht="15" customHeight="1" x14ac:dyDescent="0.25">
      <c r="A145" s="26" t="s">
        <v>1</v>
      </c>
      <c r="B145" s="27"/>
      <c r="C145" s="12"/>
      <c r="D145" s="22"/>
      <c r="E145" s="22"/>
      <c r="F145" s="22"/>
      <c r="H145" s="20"/>
      <c r="I145" s="21"/>
      <c r="J145" s="17"/>
      <c r="K145" s="17"/>
      <c r="L145" s="17"/>
      <c r="M145" s="17"/>
      <c r="N145" s="17"/>
      <c r="O145" s="17"/>
      <c r="P145" s="5"/>
      <c r="Q145" s="5"/>
    </row>
    <row r="146" spans="1:17" ht="15" customHeight="1" x14ac:dyDescent="0.25">
      <c r="A146" s="13" t="s">
        <v>63</v>
      </c>
      <c r="B146" s="14"/>
      <c r="C146" s="15">
        <f>(1913148.22-8219.71-188763.58-45847.73)/1.2+8219.71+188763.58+45847.73</f>
        <v>1634762.02</v>
      </c>
      <c r="D146" s="22"/>
      <c r="E146" s="22"/>
      <c r="F146" s="22"/>
      <c r="H146" s="20"/>
      <c r="I146" s="21"/>
      <c r="J146" s="17"/>
      <c r="K146" s="17"/>
      <c r="L146" s="17"/>
      <c r="M146" s="17"/>
      <c r="N146" s="17"/>
      <c r="O146" s="17"/>
      <c r="P146" s="5"/>
      <c r="Q146" s="5"/>
    </row>
    <row r="147" spans="1:17" ht="15" customHeight="1" x14ac:dyDescent="0.25">
      <c r="A147" s="13" t="s">
        <v>2</v>
      </c>
      <c r="B147" s="14"/>
      <c r="C147" s="15">
        <f>45847.73+63539.66/1.2+188763.58+169954.91/1.2</f>
        <v>429190.11833333335</v>
      </c>
      <c r="D147" s="22"/>
      <c r="E147" s="22"/>
      <c r="F147" s="22"/>
      <c r="H147" s="20"/>
      <c r="I147" s="21"/>
      <c r="J147" s="17"/>
      <c r="K147" s="17"/>
      <c r="L147" s="17"/>
      <c r="M147" s="17"/>
      <c r="N147" s="17"/>
      <c r="O147" s="17"/>
      <c r="P147" s="5"/>
      <c r="Q147" s="5"/>
    </row>
    <row r="148" spans="1:17" ht="15" customHeight="1" x14ac:dyDescent="0.25">
      <c r="A148" s="100" t="s">
        <v>3</v>
      </c>
      <c r="B148" s="101"/>
      <c r="C148" s="16">
        <f>455160.12+638201.52/1.2+922761.72+814587.9/1.2</f>
        <v>2588579.69</v>
      </c>
      <c r="D148" s="22"/>
      <c r="E148" s="22"/>
      <c r="F148" s="22"/>
      <c r="H148" s="20"/>
      <c r="I148" s="21"/>
      <c r="J148" s="17"/>
      <c r="K148" s="17"/>
      <c r="L148" s="17"/>
      <c r="M148" s="17"/>
      <c r="N148" s="17"/>
      <c r="O148" s="17"/>
      <c r="P148" s="5"/>
      <c r="Q148" s="5"/>
    </row>
    <row r="149" spans="1:17" ht="15" customHeight="1" x14ac:dyDescent="0.25">
      <c r="A149" s="53" t="s">
        <v>60</v>
      </c>
      <c r="B149" s="54"/>
      <c r="C149" s="16">
        <f>18585.72+16406.94/1.2</f>
        <v>32258.17</v>
      </c>
      <c r="D149" s="22"/>
      <c r="E149" s="22"/>
      <c r="F149" s="22"/>
      <c r="H149" s="20"/>
      <c r="I149" s="21"/>
      <c r="J149" s="17"/>
      <c r="K149" s="17"/>
      <c r="L149" s="17"/>
      <c r="M149" s="17"/>
      <c r="N149" s="17"/>
      <c r="O149" s="17"/>
      <c r="P149" s="5"/>
      <c r="Q149" s="5"/>
    </row>
    <row r="150" spans="1:17" ht="15" customHeight="1" x14ac:dyDescent="0.25">
      <c r="A150" s="53" t="s">
        <v>4</v>
      </c>
      <c r="B150" s="54"/>
      <c r="C150" s="16">
        <v>17900</v>
      </c>
      <c r="D150" s="2"/>
      <c r="E150" s="22"/>
      <c r="F150" s="22"/>
      <c r="H150" s="4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" customHeight="1" x14ac:dyDescent="0.25">
      <c r="A151" s="53" t="s">
        <v>51</v>
      </c>
      <c r="B151" s="54"/>
      <c r="C151" s="16">
        <v>30000</v>
      </c>
      <c r="D151" s="2"/>
      <c r="E151" s="22"/>
      <c r="F151" s="22"/>
      <c r="H151" s="4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" customHeight="1" x14ac:dyDescent="0.25">
      <c r="A152" s="53" t="s">
        <v>6</v>
      </c>
      <c r="B152" s="54"/>
      <c r="C152" s="16">
        <f>59520/1.2</f>
        <v>49600</v>
      </c>
      <c r="D152" s="2"/>
      <c r="E152" s="22"/>
      <c r="F152" s="22"/>
      <c r="H152" s="4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" customHeight="1" x14ac:dyDescent="0.25">
      <c r="A153" s="13" t="s">
        <v>7</v>
      </c>
      <c r="B153" s="18"/>
      <c r="C153" s="19">
        <f>SUM(C148:C152)</f>
        <v>2718337.86</v>
      </c>
      <c r="D153" s="2"/>
      <c r="E153" s="22"/>
      <c r="F153" s="22"/>
      <c r="G153" s="3">
        <f>C153-C168</f>
        <v>-278080.71000000043</v>
      </c>
      <c r="H153" s="4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" customHeight="1" x14ac:dyDescent="0.25">
      <c r="A154" s="13"/>
      <c r="B154" s="18"/>
      <c r="C154" s="19"/>
      <c r="D154" s="2"/>
      <c r="E154" s="22"/>
      <c r="F154" s="22"/>
      <c r="H154" s="4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" customHeight="1" x14ac:dyDescent="0.25">
      <c r="A155" s="108" t="s">
        <v>8</v>
      </c>
      <c r="B155" s="109"/>
      <c r="C155" s="12"/>
      <c r="E155" s="2"/>
      <c r="F155" s="2"/>
      <c r="G155" s="2"/>
    </row>
    <row r="156" spans="1:17" ht="15" customHeight="1" x14ac:dyDescent="0.25">
      <c r="A156" s="102" t="s">
        <v>9</v>
      </c>
      <c r="B156" s="103"/>
      <c r="C156" s="16">
        <f>10345.5+390312.89</f>
        <v>400658.39</v>
      </c>
      <c r="D156" s="22"/>
      <c r="E156" s="22"/>
      <c r="F156" s="22"/>
      <c r="H156" s="20"/>
      <c r="I156" s="21"/>
      <c r="J156" s="17"/>
      <c r="K156" s="17"/>
      <c r="L156" s="17"/>
      <c r="M156" s="17"/>
      <c r="N156" s="17"/>
      <c r="O156" s="17"/>
      <c r="P156" s="5"/>
      <c r="Q156" s="5"/>
    </row>
    <row r="157" spans="1:17" ht="15" customHeight="1" x14ac:dyDescent="0.25">
      <c r="A157" s="53" t="s">
        <v>11</v>
      </c>
      <c r="B157" s="54"/>
      <c r="C157" s="16">
        <v>4831.5</v>
      </c>
      <c r="D157" s="22"/>
      <c r="E157" s="22"/>
      <c r="F157" s="22"/>
      <c r="H157" s="20"/>
      <c r="I157" s="21"/>
      <c r="J157" s="17"/>
      <c r="K157" s="17"/>
      <c r="L157" s="17"/>
      <c r="M157" s="17"/>
      <c r="N157" s="17"/>
      <c r="O157" s="17"/>
      <c r="P157" s="5"/>
      <c r="Q157" s="5"/>
    </row>
    <row r="158" spans="1:17" ht="15" customHeight="1" x14ac:dyDescent="0.25">
      <c r="A158" s="53" t="s">
        <v>54</v>
      </c>
      <c r="B158" s="54"/>
      <c r="C158" s="16">
        <f>30350+99940</f>
        <v>130290</v>
      </c>
      <c r="D158" s="22"/>
      <c r="E158" s="22"/>
      <c r="F158" s="22"/>
      <c r="H158" s="20"/>
      <c r="I158" s="21"/>
      <c r="J158" s="17"/>
      <c r="K158" s="17"/>
      <c r="L158" s="17"/>
      <c r="M158" s="17"/>
      <c r="N158" s="17"/>
      <c r="O158" s="17"/>
      <c r="P158" s="5"/>
      <c r="Q158" s="5"/>
    </row>
    <row r="159" spans="1:17" ht="15" customHeight="1" x14ac:dyDescent="0.25">
      <c r="A159" s="86" t="s">
        <v>64</v>
      </c>
      <c r="B159" s="87"/>
      <c r="C159" s="16">
        <v>42713</v>
      </c>
      <c r="D159" s="22"/>
      <c r="E159" s="22"/>
      <c r="F159" s="22"/>
      <c r="H159" s="20"/>
      <c r="I159" s="21"/>
      <c r="J159" s="17"/>
      <c r="K159" s="17"/>
      <c r="L159" s="17"/>
      <c r="M159" s="17"/>
      <c r="N159" s="17"/>
      <c r="O159" s="17"/>
      <c r="P159" s="5"/>
      <c r="Q159" s="5"/>
    </row>
    <row r="160" spans="1:17" ht="15" customHeight="1" x14ac:dyDescent="0.25">
      <c r="A160" s="53" t="s">
        <v>13</v>
      </c>
      <c r="B160" s="54"/>
      <c r="C160" s="16">
        <v>53264.160000000003</v>
      </c>
      <c r="D160" s="22"/>
      <c r="E160" s="22"/>
      <c r="F160" s="22"/>
      <c r="H160" s="20"/>
      <c r="I160" s="21"/>
      <c r="J160" s="17"/>
      <c r="K160" s="17"/>
      <c r="L160" s="17"/>
      <c r="M160" s="17"/>
      <c r="N160" s="17"/>
      <c r="O160" s="17"/>
      <c r="P160" s="5"/>
      <c r="Q160" s="5"/>
    </row>
    <row r="161" spans="1:17" ht="15" customHeight="1" x14ac:dyDescent="0.25">
      <c r="A161" s="100" t="s">
        <v>14</v>
      </c>
      <c r="B161" s="101"/>
      <c r="C161" s="16">
        <v>307153.8</v>
      </c>
      <c r="D161" s="22"/>
      <c r="E161" s="22"/>
      <c r="F161" s="22"/>
      <c r="H161" s="20"/>
      <c r="I161" s="21"/>
      <c r="J161" s="17"/>
      <c r="K161" s="17"/>
      <c r="L161" s="17"/>
      <c r="M161" s="17"/>
      <c r="N161" s="17"/>
      <c r="O161" s="17"/>
      <c r="P161" s="5"/>
      <c r="Q161" s="5"/>
    </row>
    <row r="162" spans="1:17" ht="15" customHeight="1" x14ac:dyDescent="0.25">
      <c r="A162" s="53" t="s">
        <v>12</v>
      </c>
      <c r="B162" s="54"/>
      <c r="C162" s="16">
        <v>228225.43</v>
      </c>
      <c r="D162" s="22"/>
      <c r="E162" s="22"/>
      <c r="F162" s="22"/>
      <c r="H162" s="20"/>
      <c r="I162" s="21"/>
      <c r="J162" s="17"/>
      <c r="K162" s="17"/>
      <c r="L162" s="17"/>
      <c r="M162" s="17"/>
      <c r="N162" s="17"/>
      <c r="O162" s="17"/>
      <c r="P162" s="5"/>
      <c r="Q162" s="5"/>
    </row>
    <row r="163" spans="1:17" ht="15" customHeight="1" x14ac:dyDescent="0.25">
      <c r="A163" s="100" t="s">
        <v>19</v>
      </c>
      <c r="B163" s="101"/>
      <c r="C163" s="16">
        <v>13396.32</v>
      </c>
      <c r="D163" s="22"/>
      <c r="E163" s="22"/>
      <c r="F163" s="22"/>
      <c r="H163" s="20"/>
      <c r="I163" s="21"/>
      <c r="J163" s="17"/>
      <c r="K163" s="17"/>
      <c r="L163" s="17"/>
      <c r="M163" s="17"/>
      <c r="N163" s="17"/>
      <c r="O163" s="17"/>
      <c r="P163" s="5"/>
      <c r="Q163" s="5"/>
    </row>
    <row r="164" spans="1:17" ht="15" customHeight="1" x14ac:dyDescent="0.25">
      <c r="A164" s="104" t="s">
        <v>15</v>
      </c>
      <c r="B164" s="105"/>
      <c r="C164" s="16">
        <v>780786.54</v>
      </c>
      <c r="D164" s="22"/>
      <c r="E164" s="22"/>
      <c r="F164" s="22"/>
      <c r="H164" s="20"/>
      <c r="I164" s="21"/>
      <c r="J164" s="17"/>
      <c r="K164" s="17"/>
      <c r="L164" s="17"/>
      <c r="M164" s="17"/>
      <c r="N164" s="17"/>
      <c r="O164" s="17"/>
      <c r="P164" s="5"/>
      <c r="Q164" s="5"/>
    </row>
    <row r="165" spans="1:17" ht="15" customHeight="1" x14ac:dyDescent="0.25">
      <c r="A165" s="88" t="s">
        <v>58</v>
      </c>
      <c r="B165" s="89"/>
      <c r="C165" s="16">
        <v>9632.1200000000008</v>
      </c>
      <c r="D165" s="22"/>
      <c r="E165" s="22"/>
      <c r="F165" s="22"/>
      <c r="H165" s="20"/>
      <c r="I165" s="21"/>
      <c r="J165" s="17"/>
      <c r="K165" s="17"/>
      <c r="L165" s="17"/>
      <c r="M165" s="17"/>
      <c r="N165" s="17"/>
      <c r="O165" s="17"/>
      <c r="P165" s="5"/>
      <c r="Q165" s="5"/>
    </row>
    <row r="166" spans="1:17" ht="15" customHeight="1" x14ac:dyDescent="0.25">
      <c r="A166" s="100" t="s">
        <v>16</v>
      </c>
      <c r="B166" s="101"/>
      <c r="C166" s="16">
        <v>298429.14</v>
      </c>
      <c r="D166" s="22"/>
      <c r="E166" s="22"/>
      <c r="F166" s="22"/>
      <c r="H166" s="20"/>
      <c r="I166" s="21"/>
      <c r="J166" s="17"/>
      <c r="K166" s="17"/>
      <c r="L166" s="17"/>
      <c r="M166" s="17"/>
      <c r="N166" s="17"/>
      <c r="O166" s="17"/>
      <c r="P166" s="5"/>
      <c r="Q166" s="5"/>
    </row>
    <row r="167" spans="1:17" ht="15" customHeight="1" thickBot="1" x14ac:dyDescent="0.3">
      <c r="A167" s="59" t="s">
        <v>17</v>
      </c>
      <c r="B167" s="60"/>
      <c r="C167" s="24">
        <v>727038.17</v>
      </c>
      <c r="D167" s="22"/>
      <c r="E167" s="22"/>
      <c r="F167" s="22"/>
      <c r="H167" s="20"/>
      <c r="I167" s="21"/>
      <c r="J167" s="17"/>
      <c r="K167" s="17"/>
      <c r="L167" s="17"/>
      <c r="M167" s="17"/>
      <c r="N167" s="17"/>
      <c r="O167" s="17"/>
      <c r="P167" s="5"/>
      <c r="Q167" s="5"/>
    </row>
    <row r="168" spans="1:17" ht="15" customHeight="1" thickBot="1" x14ac:dyDescent="0.3">
      <c r="A168" s="98" t="s">
        <v>20</v>
      </c>
      <c r="B168" s="99"/>
      <c r="C168" s="28">
        <f>SUM(C156:C167)</f>
        <v>2996418.5700000003</v>
      </c>
      <c r="D168" s="22"/>
      <c r="E168" s="22"/>
      <c r="F168" s="22"/>
      <c r="H168" s="20"/>
      <c r="I168" s="21"/>
      <c r="J168" s="17"/>
      <c r="K168" s="17"/>
      <c r="L168" s="17"/>
      <c r="M168" s="17"/>
      <c r="N168" s="17"/>
      <c r="O168" s="17"/>
      <c r="P168" s="5"/>
      <c r="Q168" s="5"/>
    </row>
    <row r="169" spans="1:17" ht="6.75" customHeight="1" thickBot="1" x14ac:dyDescent="0.3">
      <c r="A169" s="61"/>
      <c r="B169" s="62"/>
      <c r="C169" s="28"/>
      <c r="D169" s="22"/>
      <c r="E169" s="22"/>
      <c r="F169" s="22"/>
      <c r="H169" s="20"/>
      <c r="I169" s="21"/>
      <c r="J169" s="17"/>
      <c r="K169" s="17"/>
      <c r="L169" s="17"/>
      <c r="M169" s="17"/>
      <c r="N169" s="17"/>
      <c r="O169" s="17"/>
      <c r="P169" s="5"/>
      <c r="Q169" s="5"/>
    </row>
    <row r="170" spans="1:17" ht="17.25" customHeight="1" x14ac:dyDescent="0.25">
      <c r="A170" s="66"/>
      <c r="B170" s="66"/>
      <c r="C170" s="42"/>
      <c r="D170" s="22"/>
      <c r="E170" s="22"/>
      <c r="F170" s="22"/>
      <c r="H170" s="20"/>
      <c r="I170" s="21"/>
      <c r="J170" s="17"/>
      <c r="K170" s="17"/>
      <c r="L170" s="17"/>
      <c r="M170" s="17"/>
      <c r="N170" s="17"/>
      <c r="O170" s="17"/>
      <c r="P170" s="5"/>
      <c r="Q170" s="5"/>
    </row>
    <row r="171" spans="1:17" ht="17.25" customHeight="1" x14ac:dyDescent="0.25">
      <c r="A171" s="66"/>
      <c r="B171" s="66"/>
      <c r="C171" s="42"/>
      <c r="D171" s="22"/>
      <c r="E171" s="22"/>
      <c r="F171" s="22"/>
      <c r="H171" s="20"/>
      <c r="I171" s="21"/>
      <c r="J171" s="17"/>
      <c r="K171" s="17"/>
      <c r="L171" s="17"/>
      <c r="M171" s="17"/>
      <c r="N171" s="17"/>
      <c r="O171" s="17"/>
      <c r="P171" s="5"/>
      <c r="Q171" s="5"/>
    </row>
    <row r="172" spans="1:17" ht="17.25" customHeight="1" x14ac:dyDescent="0.25">
      <c r="A172" s="66"/>
      <c r="B172" s="66"/>
      <c r="C172" s="42"/>
      <c r="D172" s="22"/>
      <c r="E172" s="22"/>
      <c r="F172" s="22"/>
      <c r="H172" s="20"/>
      <c r="I172" s="21"/>
      <c r="J172" s="17"/>
      <c r="K172" s="17"/>
      <c r="L172" s="17"/>
      <c r="M172" s="17"/>
      <c r="N172" s="17"/>
      <c r="O172" s="17"/>
      <c r="P172" s="5"/>
      <c r="Q172" s="5"/>
    </row>
    <row r="173" spans="1:17" ht="18.75" customHeight="1" x14ac:dyDescent="0.25">
      <c r="A173" s="54" t="s">
        <v>49</v>
      </c>
      <c r="B173" s="65"/>
      <c r="C173" s="52" t="s">
        <v>50</v>
      </c>
      <c r="D173" s="22"/>
      <c r="E173" s="66"/>
      <c r="F173" s="66"/>
      <c r="G173" s="42"/>
      <c r="H173" s="20"/>
      <c r="I173" s="21"/>
      <c r="J173" s="17"/>
      <c r="K173" s="17"/>
      <c r="L173" s="17"/>
      <c r="M173" s="17"/>
      <c r="N173" s="17"/>
      <c r="O173" s="17"/>
      <c r="P173" s="5"/>
      <c r="Q173" s="5"/>
    </row>
    <row r="174" spans="1:17" ht="17.25" customHeight="1" x14ac:dyDescent="0.25">
      <c r="A174" s="66"/>
      <c r="B174" s="66"/>
      <c r="C174" s="42"/>
      <c r="D174" s="22"/>
      <c r="E174" s="22"/>
      <c r="F174" s="22"/>
      <c r="H174" s="20"/>
      <c r="I174" s="21"/>
      <c r="J174" s="17"/>
      <c r="K174" s="17"/>
      <c r="L174" s="17"/>
      <c r="M174" s="17"/>
      <c r="N174" s="17"/>
      <c r="O174" s="17"/>
      <c r="P174" s="5"/>
      <c r="Q174" s="5"/>
    </row>
    <row r="175" spans="1:17" ht="17.25" customHeight="1" x14ac:dyDescent="0.25">
      <c r="A175" s="66"/>
      <c r="B175" s="66"/>
      <c r="C175" s="42"/>
      <c r="D175" s="22"/>
      <c r="E175" s="22"/>
      <c r="F175" s="22"/>
      <c r="H175" s="20"/>
      <c r="I175" s="21"/>
      <c r="J175" s="17"/>
      <c r="K175" s="17"/>
      <c r="L175" s="17"/>
      <c r="M175" s="17"/>
      <c r="N175" s="17"/>
      <c r="O175" s="17"/>
      <c r="P175" s="5"/>
      <c r="Q175" s="5"/>
    </row>
    <row r="176" spans="1:17" ht="17.25" customHeight="1" x14ac:dyDescent="0.25">
      <c r="A176" s="66"/>
      <c r="B176" s="66"/>
      <c r="C176" s="42"/>
      <c r="D176" s="22"/>
      <c r="E176" s="22"/>
      <c r="F176" s="22"/>
      <c r="H176" s="20"/>
      <c r="I176" s="21"/>
      <c r="J176" s="17"/>
      <c r="K176" s="17"/>
      <c r="L176" s="17"/>
      <c r="M176" s="17"/>
      <c r="N176" s="17"/>
      <c r="O176" s="17"/>
      <c r="P176" s="5"/>
      <c r="Q176" s="5"/>
    </row>
    <row r="177" spans="1:17" ht="17.25" customHeight="1" x14ac:dyDescent="0.25">
      <c r="A177" s="66"/>
      <c r="B177" s="66"/>
      <c r="C177" s="42"/>
      <c r="D177" s="22"/>
      <c r="E177" s="22"/>
      <c r="F177" s="22"/>
      <c r="H177" s="20"/>
      <c r="I177" s="21"/>
      <c r="J177" s="17"/>
      <c r="K177" s="17"/>
      <c r="L177" s="17"/>
      <c r="M177" s="17"/>
      <c r="N177" s="17"/>
      <c r="O177" s="17"/>
      <c r="P177" s="5"/>
      <c r="Q177" s="5"/>
    </row>
    <row r="178" spans="1:17" ht="17.25" customHeight="1" x14ac:dyDescent="0.25">
      <c r="A178" s="66"/>
      <c r="B178" s="66"/>
      <c r="C178" s="42"/>
      <c r="D178" s="22"/>
      <c r="E178" s="22"/>
      <c r="F178" s="22"/>
      <c r="H178" s="20"/>
      <c r="I178" s="21"/>
      <c r="J178" s="17"/>
      <c r="K178" s="17"/>
      <c r="L178" s="17"/>
      <c r="M178" s="17"/>
      <c r="N178" s="17"/>
      <c r="O178" s="17"/>
      <c r="P178" s="5"/>
      <c r="Q178" s="5"/>
    </row>
    <row r="179" spans="1:17" ht="17.25" customHeight="1" x14ac:dyDescent="0.25">
      <c r="A179" s="66"/>
      <c r="B179" s="66"/>
      <c r="C179" s="42"/>
      <c r="D179" s="22"/>
      <c r="E179" s="22"/>
      <c r="F179" s="22"/>
      <c r="H179" s="20"/>
      <c r="I179" s="21"/>
      <c r="J179" s="17"/>
      <c r="K179" s="17"/>
      <c r="L179" s="17"/>
      <c r="M179" s="17"/>
      <c r="N179" s="17"/>
      <c r="O179" s="17"/>
      <c r="P179" s="5"/>
      <c r="Q179" s="5"/>
    </row>
    <row r="180" spans="1:17" ht="17.25" customHeight="1" x14ac:dyDescent="0.25">
      <c r="A180" s="66"/>
      <c r="B180" s="66"/>
      <c r="C180" s="42"/>
      <c r="D180" s="22"/>
      <c r="E180" s="22"/>
      <c r="F180" s="22"/>
      <c r="H180" s="20"/>
      <c r="I180" s="21"/>
      <c r="J180" s="17"/>
      <c r="K180" s="17"/>
      <c r="L180" s="17"/>
      <c r="M180" s="17"/>
      <c r="N180" s="17"/>
      <c r="O180" s="17"/>
      <c r="P180" s="5"/>
      <c r="Q180" s="5"/>
    </row>
    <row r="181" spans="1:17" ht="17.25" customHeight="1" x14ac:dyDescent="0.25">
      <c r="A181" s="74"/>
      <c r="B181" s="74"/>
      <c r="C181" s="42"/>
      <c r="D181" s="22"/>
      <c r="E181" s="22"/>
      <c r="F181" s="22"/>
      <c r="H181" s="20"/>
      <c r="I181" s="21"/>
      <c r="J181" s="17"/>
      <c r="K181" s="17"/>
      <c r="L181" s="17"/>
      <c r="M181" s="17"/>
      <c r="N181" s="17"/>
      <c r="O181" s="17"/>
      <c r="P181" s="5"/>
      <c r="Q181" s="5"/>
    </row>
    <row r="182" spans="1:17" ht="17.25" customHeight="1" x14ac:dyDescent="0.25">
      <c r="A182" s="79"/>
      <c r="B182" s="79"/>
      <c r="C182" s="42"/>
      <c r="D182" s="22"/>
      <c r="E182" s="22"/>
      <c r="F182" s="22"/>
      <c r="H182" s="20"/>
      <c r="I182" s="21"/>
      <c r="J182" s="17"/>
      <c r="K182" s="17"/>
      <c r="L182" s="17"/>
      <c r="M182" s="17"/>
      <c r="N182" s="17"/>
      <c r="O182" s="17"/>
      <c r="P182" s="5"/>
      <c r="Q182" s="5"/>
    </row>
    <row r="183" spans="1:17" ht="17.25" customHeight="1" x14ac:dyDescent="0.25">
      <c r="A183" s="79"/>
      <c r="B183" s="79"/>
      <c r="C183" s="42"/>
      <c r="D183" s="22"/>
      <c r="E183" s="22"/>
      <c r="F183" s="22"/>
      <c r="H183" s="20"/>
      <c r="I183" s="21"/>
      <c r="J183" s="17"/>
      <c r="K183" s="17"/>
      <c r="L183" s="17"/>
      <c r="M183" s="17"/>
      <c r="N183" s="17"/>
      <c r="O183" s="17"/>
      <c r="P183" s="5"/>
      <c r="Q183" s="5"/>
    </row>
    <row r="184" spans="1:17" ht="17.25" customHeight="1" x14ac:dyDescent="0.25">
      <c r="A184" s="79"/>
      <c r="B184" s="79"/>
      <c r="C184" s="42"/>
      <c r="D184" s="22"/>
      <c r="E184" s="22"/>
      <c r="F184" s="22"/>
      <c r="H184" s="20"/>
      <c r="I184" s="21"/>
      <c r="J184" s="17"/>
      <c r="K184" s="17"/>
      <c r="L184" s="17"/>
      <c r="M184" s="17"/>
      <c r="N184" s="17"/>
      <c r="O184" s="17"/>
      <c r="P184" s="5"/>
      <c r="Q184" s="5"/>
    </row>
    <row r="185" spans="1:17" ht="17.25" customHeight="1" x14ac:dyDescent="0.25">
      <c r="A185" s="97"/>
      <c r="B185" s="97"/>
      <c r="C185" s="42"/>
      <c r="D185" s="22"/>
      <c r="E185" s="22"/>
      <c r="F185" s="22"/>
      <c r="H185" s="20"/>
      <c r="I185" s="21"/>
      <c r="J185" s="17"/>
      <c r="K185" s="17"/>
      <c r="L185" s="17"/>
      <c r="M185" s="17"/>
      <c r="N185" s="17"/>
      <c r="O185" s="17"/>
      <c r="P185" s="5"/>
      <c r="Q185" s="5"/>
    </row>
    <row r="186" spans="1:17" ht="17.25" customHeight="1" x14ac:dyDescent="0.25">
      <c r="A186" s="97"/>
      <c r="B186" s="97"/>
      <c r="C186" s="42"/>
      <c r="D186" s="22"/>
      <c r="E186" s="22"/>
      <c r="F186" s="22"/>
      <c r="H186" s="20"/>
      <c r="I186" s="21"/>
      <c r="J186" s="17"/>
      <c r="K186" s="17"/>
      <c r="L186" s="17"/>
      <c r="M186" s="17"/>
      <c r="N186" s="17"/>
      <c r="O186" s="17"/>
      <c r="P186" s="5"/>
      <c r="Q186" s="5"/>
    </row>
    <row r="187" spans="1:17" ht="17.25" customHeight="1" x14ac:dyDescent="0.25">
      <c r="A187" s="97"/>
      <c r="B187" s="97"/>
      <c r="C187" s="42"/>
      <c r="D187" s="22"/>
      <c r="E187" s="22"/>
      <c r="F187" s="22"/>
      <c r="H187" s="20"/>
      <c r="I187" s="21"/>
      <c r="J187" s="17"/>
      <c r="K187" s="17"/>
      <c r="L187" s="17"/>
      <c r="M187" s="17"/>
      <c r="N187" s="17"/>
      <c r="O187" s="17"/>
      <c r="P187" s="5"/>
      <c r="Q187" s="5"/>
    </row>
    <row r="188" spans="1:17" ht="17.25" customHeight="1" x14ac:dyDescent="0.25">
      <c r="A188" s="66"/>
      <c r="B188" s="66"/>
      <c r="C188" s="2" t="s">
        <v>47</v>
      </c>
      <c r="D188" s="22"/>
      <c r="E188" s="22"/>
      <c r="F188" s="22"/>
      <c r="H188" s="20"/>
      <c r="I188" s="21"/>
      <c r="J188" s="17"/>
      <c r="K188" s="17"/>
      <c r="L188" s="17"/>
      <c r="M188" s="17"/>
      <c r="N188" s="17"/>
      <c r="O188" s="17"/>
      <c r="P188" s="5"/>
      <c r="Q188" s="5"/>
    </row>
    <row r="189" spans="1:17" ht="17.25" customHeight="1" x14ac:dyDescent="0.25">
      <c r="A189" s="66"/>
      <c r="B189" s="66"/>
      <c r="C189" s="51" t="s">
        <v>48</v>
      </c>
      <c r="D189" s="22"/>
      <c r="E189" s="22"/>
      <c r="F189" s="22"/>
      <c r="H189" s="20"/>
      <c r="I189" s="21"/>
      <c r="J189" s="17"/>
      <c r="K189" s="17"/>
      <c r="L189" s="17"/>
      <c r="M189" s="17"/>
      <c r="N189" s="17"/>
      <c r="O189" s="17"/>
      <c r="P189" s="5"/>
      <c r="Q189" s="5"/>
    </row>
    <row r="190" spans="1:17" ht="17.25" customHeight="1" x14ac:dyDescent="0.25">
      <c r="A190" s="66"/>
      <c r="B190" s="66"/>
      <c r="C190" s="50"/>
      <c r="D190" s="22"/>
      <c r="E190" s="22"/>
      <c r="F190" s="22"/>
      <c r="H190" s="20"/>
      <c r="I190" s="21"/>
      <c r="J190" s="17"/>
      <c r="K190" s="17"/>
      <c r="L190" s="17"/>
      <c r="M190" s="17"/>
      <c r="N190" s="17"/>
      <c r="O190" s="17"/>
      <c r="P190" s="5"/>
      <c r="Q190" s="5"/>
    </row>
    <row r="191" spans="1:17" ht="16.5" thickBot="1" x14ac:dyDescent="0.3"/>
    <row r="192" spans="1:17" ht="15" customHeight="1" thickBot="1" x14ac:dyDescent="0.3">
      <c r="A192" s="7" t="s">
        <v>21</v>
      </c>
      <c r="B192" s="8"/>
      <c r="C192" s="9" t="s">
        <v>62</v>
      </c>
      <c r="D192" s="2"/>
      <c r="E192" s="2"/>
      <c r="F192" s="2"/>
      <c r="G192" s="22"/>
      <c r="H192" s="4"/>
      <c r="I192" s="5"/>
      <c r="J192" s="5"/>
      <c r="K192" s="5"/>
      <c r="L192" s="5"/>
      <c r="M192" s="5"/>
      <c r="N192" s="5"/>
      <c r="O192" s="5"/>
      <c r="P192" s="5"/>
    </row>
    <row r="193" spans="1:17" ht="15" customHeight="1" x14ac:dyDescent="0.25">
      <c r="A193" s="29" t="s">
        <v>1</v>
      </c>
      <c r="B193" s="30"/>
      <c r="C193" s="31"/>
      <c r="D193" s="2"/>
      <c r="E193" s="22"/>
      <c r="F193" s="22"/>
    </row>
    <row r="194" spans="1:17" ht="15" customHeight="1" x14ac:dyDescent="0.25">
      <c r="A194" s="13" t="s">
        <v>63</v>
      </c>
      <c r="B194" s="14"/>
      <c r="C194" s="15">
        <f>(472673.67-10818.6-72151.91)/1.2+10818.6+72151.91</f>
        <v>407723.14333333331</v>
      </c>
      <c r="D194" s="2"/>
      <c r="E194" s="22"/>
      <c r="F194" s="22"/>
    </row>
    <row r="195" spans="1:17" ht="15" customHeight="1" x14ac:dyDescent="0.25">
      <c r="A195" s="13" t="s">
        <v>2</v>
      </c>
      <c r="B195" s="14"/>
      <c r="C195" s="15">
        <f>72151.91+66118.27/1.2</f>
        <v>127250.46833333335</v>
      </c>
      <c r="D195" s="2"/>
      <c r="E195" s="22"/>
      <c r="F195" s="22"/>
    </row>
    <row r="196" spans="1:17" ht="15" customHeight="1" x14ac:dyDescent="0.25">
      <c r="A196" s="100" t="s">
        <v>3</v>
      </c>
      <c r="B196" s="101"/>
      <c r="C196" s="16">
        <f>677133.48+597753.96/1.2</f>
        <v>1175261.78</v>
      </c>
      <c r="D196" s="2"/>
      <c r="E196" s="22"/>
      <c r="F196" s="22"/>
    </row>
    <row r="197" spans="1:17" ht="15" customHeight="1" x14ac:dyDescent="0.25">
      <c r="A197" s="100" t="s">
        <v>60</v>
      </c>
      <c r="B197" s="101"/>
      <c r="C197" s="16">
        <f>125154.9+110483.1/1.2</f>
        <v>217224.15000000002</v>
      </c>
      <c r="D197" s="2"/>
      <c r="E197" s="22"/>
      <c r="F197" s="22"/>
    </row>
    <row r="198" spans="1:17" ht="15" customHeight="1" x14ac:dyDescent="0.25">
      <c r="A198" s="53" t="s">
        <v>6</v>
      </c>
      <c r="B198" s="54"/>
      <c r="C198" s="16">
        <f>23040/1.2</f>
        <v>19200</v>
      </c>
      <c r="D198" s="2"/>
      <c r="E198" s="22"/>
      <c r="F198" s="22"/>
    </row>
    <row r="199" spans="1:17" ht="15" customHeight="1" x14ac:dyDescent="0.25">
      <c r="A199" s="53" t="s">
        <v>4</v>
      </c>
      <c r="B199" s="54"/>
      <c r="C199" s="16">
        <v>15650</v>
      </c>
      <c r="D199" s="2"/>
      <c r="E199" s="2"/>
      <c r="F199" s="2"/>
      <c r="G199" s="2"/>
    </row>
    <row r="200" spans="1:17" x14ac:dyDescent="0.25">
      <c r="A200" s="13" t="s">
        <v>7</v>
      </c>
      <c r="B200" s="18"/>
      <c r="C200" s="19">
        <f>SUM(C196:C199)</f>
        <v>1427335.9300000002</v>
      </c>
      <c r="D200" s="2"/>
      <c r="E200" s="2"/>
      <c r="F200" s="2"/>
      <c r="G200" s="2">
        <f>C200-C214</f>
        <v>-160528.77166666649</v>
      </c>
      <c r="H200" s="20"/>
    </row>
    <row r="201" spans="1:17" x14ac:dyDescent="0.25">
      <c r="A201" s="13"/>
      <c r="B201" s="18"/>
      <c r="C201" s="19"/>
      <c r="D201" s="2"/>
      <c r="E201" s="2"/>
      <c r="F201" s="2"/>
      <c r="G201" s="2"/>
      <c r="H201" s="20"/>
    </row>
    <row r="202" spans="1:17" x14ac:dyDescent="0.25">
      <c r="A202" s="108" t="s">
        <v>8</v>
      </c>
      <c r="B202" s="109"/>
      <c r="C202" s="12"/>
      <c r="E202" s="2"/>
      <c r="F202" s="2"/>
      <c r="G202" s="2"/>
      <c r="H202" s="23"/>
    </row>
    <row r="203" spans="1:17" ht="15" customHeight="1" x14ac:dyDescent="0.25">
      <c r="A203" s="102" t="s">
        <v>9</v>
      </c>
      <c r="B203" s="103"/>
      <c r="C203" s="16">
        <f>206608.51+5742.76</f>
        <v>212351.27000000002</v>
      </c>
      <c r="D203" s="22"/>
      <c r="E203" s="22"/>
      <c r="F203" s="22"/>
      <c r="H203" s="20"/>
      <c r="I203" s="21"/>
      <c r="J203" s="17"/>
      <c r="K203" s="17"/>
      <c r="L203" s="17"/>
      <c r="M203" s="17"/>
      <c r="N203" s="17"/>
      <c r="O203" s="17"/>
      <c r="P203" s="5"/>
      <c r="Q203" s="5"/>
    </row>
    <row r="204" spans="1:17" ht="15" customHeight="1" x14ac:dyDescent="0.25">
      <c r="A204" s="86" t="s">
        <v>10</v>
      </c>
      <c r="B204" s="87"/>
      <c r="C204" s="16">
        <f>8377.25/1.2</f>
        <v>6981.041666666667</v>
      </c>
      <c r="D204" s="22"/>
      <c r="E204" s="22"/>
      <c r="F204" s="22"/>
      <c r="H204" s="20"/>
      <c r="I204" s="21"/>
      <c r="J204" s="17"/>
      <c r="K204" s="17"/>
      <c r="L204" s="17"/>
      <c r="M204" s="17"/>
      <c r="N204" s="17"/>
      <c r="O204" s="17"/>
      <c r="P204" s="5"/>
      <c r="Q204" s="5"/>
    </row>
    <row r="205" spans="1:17" ht="15" customHeight="1" x14ac:dyDescent="0.25">
      <c r="A205" s="53" t="s">
        <v>11</v>
      </c>
      <c r="B205" s="54"/>
      <c r="C205" s="16">
        <v>4831.5</v>
      </c>
      <c r="D205" s="22"/>
      <c r="E205" s="22"/>
      <c r="F205" s="22"/>
      <c r="H205" s="20"/>
      <c r="I205" s="21"/>
      <c r="J205" s="17"/>
      <c r="K205" s="17"/>
      <c r="L205" s="17"/>
      <c r="M205" s="17"/>
      <c r="N205" s="17"/>
      <c r="O205" s="17"/>
      <c r="P205" s="5"/>
      <c r="Q205" s="5"/>
    </row>
    <row r="206" spans="1:17" ht="15" customHeight="1" x14ac:dyDescent="0.25">
      <c r="A206" s="53" t="s">
        <v>13</v>
      </c>
      <c r="B206" s="54"/>
      <c r="C206" s="16">
        <v>23253.360000000001</v>
      </c>
      <c r="D206" s="22"/>
      <c r="E206" s="22"/>
      <c r="F206" s="22"/>
      <c r="H206" s="20"/>
      <c r="I206" s="21"/>
      <c r="J206" s="17"/>
      <c r="K206" s="17"/>
      <c r="L206" s="17"/>
      <c r="M206" s="17"/>
      <c r="N206" s="17"/>
      <c r="O206" s="17"/>
      <c r="P206" s="5"/>
      <c r="Q206" s="5"/>
    </row>
    <row r="207" spans="1:17" ht="15" customHeight="1" x14ac:dyDescent="0.25">
      <c r="A207" s="100" t="s">
        <v>14</v>
      </c>
      <c r="B207" s="101"/>
      <c r="C207" s="16">
        <v>267144.24</v>
      </c>
      <c r="D207" s="22"/>
      <c r="E207" s="22"/>
      <c r="F207" s="22"/>
      <c r="H207" s="20"/>
      <c r="I207" s="21"/>
      <c r="J207" s="17"/>
      <c r="K207" s="17"/>
      <c r="L207" s="17"/>
      <c r="M207" s="17"/>
      <c r="N207" s="17"/>
      <c r="O207" s="17"/>
      <c r="P207" s="5"/>
      <c r="Q207" s="5"/>
    </row>
    <row r="208" spans="1:17" ht="15" customHeight="1" x14ac:dyDescent="0.25">
      <c r="A208" s="100" t="s">
        <v>12</v>
      </c>
      <c r="B208" s="101"/>
      <c r="C208" s="16">
        <v>120819.68</v>
      </c>
      <c r="D208" s="22"/>
      <c r="E208" s="22"/>
      <c r="F208" s="22"/>
      <c r="H208" s="20"/>
      <c r="I208" s="21"/>
      <c r="J208" s="17"/>
      <c r="K208" s="17"/>
      <c r="L208" s="17"/>
      <c r="M208" s="17"/>
      <c r="N208" s="17"/>
      <c r="O208" s="17"/>
      <c r="P208" s="5"/>
      <c r="Q208" s="5"/>
    </row>
    <row r="209" spans="1:17" ht="15" customHeight="1" x14ac:dyDescent="0.25">
      <c r="A209" s="100" t="s">
        <v>19</v>
      </c>
      <c r="B209" s="101"/>
      <c r="C209" s="16">
        <v>7072.44</v>
      </c>
      <c r="D209" s="22"/>
      <c r="E209" s="22"/>
      <c r="F209" s="22"/>
      <c r="H209" s="20"/>
      <c r="I209" s="21"/>
      <c r="J209" s="17"/>
      <c r="K209" s="17"/>
      <c r="L209" s="17"/>
      <c r="M209" s="17"/>
      <c r="N209" s="17"/>
      <c r="O209" s="17"/>
      <c r="P209" s="5"/>
      <c r="Q209" s="5"/>
    </row>
    <row r="210" spans="1:17" ht="15" customHeight="1" x14ac:dyDescent="0.25">
      <c r="A210" s="104" t="s">
        <v>15</v>
      </c>
      <c r="B210" s="105"/>
      <c r="C210" s="16">
        <v>383990.1</v>
      </c>
      <c r="D210" s="22"/>
      <c r="E210" s="22"/>
      <c r="F210" s="22"/>
      <c r="H210" s="20"/>
      <c r="I210" s="21"/>
      <c r="J210" s="17"/>
      <c r="K210" s="17"/>
      <c r="L210" s="17"/>
      <c r="M210" s="17"/>
      <c r="N210" s="17"/>
      <c r="O210" s="17"/>
      <c r="P210" s="5"/>
      <c r="Q210" s="5"/>
    </row>
    <row r="211" spans="1:17" ht="15" customHeight="1" x14ac:dyDescent="0.25">
      <c r="A211" s="71" t="s">
        <v>58</v>
      </c>
      <c r="B211" s="72"/>
      <c r="C211" s="16">
        <v>12213.17</v>
      </c>
      <c r="D211" s="22"/>
      <c r="E211" s="22"/>
      <c r="F211" s="22"/>
      <c r="H211" s="20"/>
      <c r="I211" s="21"/>
      <c r="J211" s="17"/>
      <c r="K211" s="17"/>
      <c r="L211" s="17"/>
      <c r="M211" s="17"/>
      <c r="N211" s="17"/>
      <c r="O211" s="17"/>
      <c r="P211" s="5"/>
      <c r="Q211" s="5"/>
    </row>
    <row r="212" spans="1:17" ht="15" customHeight="1" x14ac:dyDescent="0.25">
      <c r="A212" s="100" t="s">
        <v>16</v>
      </c>
      <c r="B212" s="101"/>
      <c r="C212" s="16">
        <v>164356.98000000001</v>
      </c>
      <c r="D212" s="22"/>
      <c r="E212" s="22"/>
      <c r="F212" s="22"/>
      <c r="H212" s="20"/>
      <c r="I212" s="21"/>
      <c r="J212" s="17"/>
      <c r="K212" s="17"/>
      <c r="L212" s="17"/>
      <c r="M212" s="17"/>
      <c r="N212" s="17"/>
      <c r="O212" s="17"/>
      <c r="P212" s="5"/>
      <c r="Q212" s="5"/>
    </row>
    <row r="213" spans="1:17" ht="15" customHeight="1" thickBot="1" x14ac:dyDescent="0.3">
      <c r="A213" s="59" t="s">
        <v>17</v>
      </c>
      <c r="B213" s="60"/>
      <c r="C213" s="24">
        <v>384850.92</v>
      </c>
      <c r="D213" s="22"/>
      <c r="E213" s="22"/>
      <c r="F213" s="22"/>
      <c r="H213" s="20"/>
      <c r="I213" s="21"/>
      <c r="J213" s="17"/>
      <c r="K213" s="17"/>
      <c r="L213" s="17"/>
      <c r="M213" s="17"/>
      <c r="N213" s="17"/>
      <c r="O213" s="17"/>
      <c r="P213" s="5"/>
      <c r="Q213" s="5"/>
    </row>
    <row r="214" spans="1:17" ht="15" customHeight="1" thickBot="1" x14ac:dyDescent="0.3">
      <c r="A214" s="114" t="s">
        <v>7</v>
      </c>
      <c r="B214" s="115"/>
      <c r="C214" s="25">
        <f>SUM(C203:C213)</f>
        <v>1587864.7016666667</v>
      </c>
      <c r="D214" s="22"/>
      <c r="E214" s="22"/>
      <c r="F214" s="22"/>
      <c r="H214" s="20"/>
      <c r="I214" s="21"/>
      <c r="J214" s="17"/>
      <c r="K214" s="17"/>
      <c r="L214" s="17"/>
      <c r="M214" s="17"/>
      <c r="N214" s="17"/>
      <c r="O214" s="17"/>
      <c r="P214" s="5"/>
      <c r="Q214" s="5"/>
    </row>
    <row r="215" spans="1:17" ht="4.5" customHeight="1" thickBot="1" x14ac:dyDescent="0.3">
      <c r="A215" s="63"/>
      <c r="B215" s="64"/>
      <c r="C215" s="25"/>
      <c r="D215" s="22"/>
      <c r="E215" s="22"/>
      <c r="F215" s="22"/>
      <c r="H215" s="20"/>
      <c r="I215" s="21"/>
      <c r="J215" s="17"/>
      <c r="K215" s="17"/>
      <c r="L215" s="17"/>
      <c r="M215" s="17"/>
      <c r="N215" s="17"/>
      <c r="O215" s="17"/>
      <c r="P215" s="5"/>
      <c r="Q215" s="5"/>
    </row>
    <row r="219" spans="1:17" ht="18.75" customHeight="1" x14ac:dyDescent="0.25">
      <c r="A219" s="54" t="s">
        <v>49</v>
      </c>
      <c r="B219" s="65"/>
      <c r="C219" s="52" t="s">
        <v>50</v>
      </c>
      <c r="D219" s="22"/>
      <c r="E219" s="66"/>
      <c r="F219" s="66"/>
      <c r="G219" s="42"/>
      <c r="H219" s="20"/>
      <c r="I219" s="21"/>
      <c r="J219" s="17"/>
      <c r="K219" s="17"/>
      <c r="L219" s="17"/>
      <c r="M219" s="17"/>
      <c r="N219" s="17"/>
      <c r="O219" s="17"/>
      <c r="P219" s="5"/>
      <c r="Q219" s="5"/>
    </row>
    <row r="237" spans="3:3" x14ac:dyDescent="0.25">
      <c r="C237" s="2" t="s">
        <v>47</v>
      </c>
    </row>
    <row r="238" spans="3:3" x14ac:dyDescent="0.25">
      <c r="C238" s="51" t="s">
        <v>48</v>
      </c>
    </row>
    <row r="239" spans="3:3" x14ac:dyDescent="0.25">
      <c r="C239" s="50"/>
    </row>
    <row r="240" spans="3:3" ht="16.5" thickBot="1" x14ac:dyDescent="0.3"/>
    <row r="241" spans="1:17" ht="16.5" thickBot="1" x14ac:dyDescent="0.3">
      <c r="A241" s="7" t="s">
        <v>22</v>
      </c>
      <c r="B241" s="8"/>
      <c r="C241" s="9" t="s">
        <v>62</v>
      </c>
      <c r="D241" s="2"/>
      <c r="E241" s="2"/>
      <c r="F241" s="2"/>
      <c r="G241" s="2"/>
    </row>
    <row r="242" spans="1:17" x14ac:dyDescent="0.25">
      <c r="A242" s="10" t="s">
        <v>1</v>
      </c>
      <c r="B242" s="11"/>
      <c r="C242" s="12"/>
      <c r="D242" s="2"/>
      <c r="E242" s="2"/>
      <c r="F242" s="2"/>
      <c r="G242" s="2"/>
    </row>
    <row r="243" spans="1:17" x14ac:dyDescent="0.25">
      <c r="A243" s="13" t="s">
        <v>63</v>
      </c>
      <c r="B243" s="14"/>
      <c r="C243" s="15">
        <f>(699394.77-59599.27-32686.79)+59599.27+32686.79</f>
        <v>699394.77</v>
      </c>
      <c r="D243" s="2"/>
      <c r="E243" s="2"/>
      <c r="F243" s="2"/>
      <c r="G243" s="2"/>
    </row>
    <row r="244" spans="1:17" x14ac:dyDescent="0.25">
      <c r="A244" s="13" t="s">
        <v>2</v>
      </c>
      <c r="B244" s="14"/>
      <c r="C244" s="15">
        <f>848.32/1.2+59599.27+81788.54/1.2+32686.79+29744.39/1.2</f>
        <v>185937.10166666668</v>
      </c>
      <c r="D244" s="2"/>
      <c r="E244" s="2"/>
      <c r="F244" s="2"/>
      <c r="G244" s="2"/>
    </row>
    <row r="245" spans="1:17" x14ac:dyDescent="0.25">
      <c r="A245" s="100" t="s">
        <v>3</v>
      </c>
      <c r="B245" s="101"/>
      <c r="C245" s="16">
        <f>598126.8+838661.52/1.2+339793.2+299959.44/1.2</f>
        <v>1886770.8</v>
      </c>
      <c r="D245" s="2"/>
      <c r="E245" s="2"/>
      <c r="F245" s="2"/>
      <c r="G245" s="2"/>
    </row>
    <row r="246" spans="1:17" x14ac:dyDescent="0.25">
      <c r="A246" s="100" t="s">
        <v>60</v>
      </c>
      <c r="B246" s="101"/>
      <c r="C246" s="16">
        <f>48399.96+42726.12/1.2</f>
        <v>84005.06</v>
      </c>
      <c r="D246" s="2"/>
      <c r="E246" s="2"/>
      <c r="F246" s="2"/>
      <c r="G246" s="2"/>
    </row>
    <row r="247" spans="1:17" x14ac:dyDescent="0.25">
      <c r="A247" s="53" t="s">
        <v>6</v>
      </c>
      <c r="B247" s="54"/>
      <c r="C247" s="16">
        <f>42440/1.2</f>
        <v>35366.666666666672</v>
      </c>
      <c r="D247" s="2"/>
      <c r="E247" s="2"/>
      <c r="F247" s="2"/>
      <c r="G247" s="2"/>
    </row>
    <row r="248" spans="1:17" x14ac:dyDescent="0.25">
      <c r="A248" s="53" t="s">
        <v>4</v>
      </c>
      <c r="B248" s="54"/>
      <c r="C248" s="16">
        <v>13400</v>
      </c>
      <c r="D248" s="2"/>
      <c r="E248" s="2"/>
      <c r="F248" s="2"/>
      <c r="G248" s="2"/>
    </row>
    <row r="249" spans="1:17" x14ac:dyDescent="0.25">
      <c r="A249" s="13" t="s">
        <v>7</v>
      </c>
      <c r="B249" s="18"/>
      <c r="C249" s="19">
        <f>SUM(C245:C248)</f>
        <v>2019542.5266666668</v>
      </c>
      <c r="D249" s="2"/>
      <c r="E249" s="2"/>
      <c r="F249" s="2"/>
      <c r="G249" s="2">
        <f>C249-C262</f>
        <v>-55071.441666666185</v>
      </c>
    </row>
    <row r="250" spans="1:17" x14ac:dyDescent="0.25">
      <c r="A250" s="13"/>
      <c r="B250" s="18"/>
      <c r="C250" s="19"/>
      <c r="D250" s="2"/>
      <c r="E250" s="2"/>
      <c r="F250" s="2"/>
      <c r="G250" s="2"/>
    </row>
    <row r="251" spans="1:17" x14ac:dyDescent="0.25">
      <c r="A251" s="108" t="s">
        <v>8</v>
      </c>
      <c r="B251" s="109"/>
      <c r="C251" s="12"/>
      <c r="E251" s="2"/>
      <c r="F251" s="2"/>
      <c r="G251" s="2"/>
    </row>
    <row r="252" spans="1:17" ht="15" customHeight="1" x14ac:dyDescent="0.25">
      <c r="A252" s="102" t="s">
        <v>9</v>
      </c>
      <c r="B252" s="103"/>
      <c r="C252" s="16">
        <f>300265.73+5859.31</f>
        <v>306125.03999999998</v>
      </c>
      <c r="D252" s="22"/>
      <c r="E252" s="22"/>
      <c r="F252" s="22"/>
      <c r="H252" s="23"/>
      <c r="I252" s="21"/>
      <c r="J252" s="17"/>
      <c r="K252" s="17"/>
      <c r="L252" s="17"/>
      <c r="M252" s="17"/>
      <c r="N252" s="17"/>
      <c r="O252" s="17"/>
      <c r="P252" s="5"/>
      <c r="Q252" s="5"/>
    </row>
    <row r="253" spans="1:17" ht="15" customHeight="1" x14ac:dyDescent="0.25">
      <c r="A253" s="69" t="s">
        <v>10</v>
      </c>
      <c r="B253" s="70"/>
      <c r="C253" s="16">
        <f>10257.37/1.2</f>
        <v>8547.8083333333343</v>
      </c>
      <c r="D253" s="22"/>
      <c r="E253" s="22"/>
      <c r="F253" s="22"/>
      <c r="H253" s="23"/>
      <c r="I253" s="21"/>
      <c r="J253" s="17"/>
      <c r="K253" s="17"/>
      <c r="L253" s="17"/>
      <c r="M253" s="17"/>
      <c r="N253" s="17"/>
      <c r="O253" s="17"/>
      <c r="P253" s="5"/>
      <c r="Q253" s="5"/>
    </row>
    <row r="254" spans="1:17" ht="15" customHeight="1" x14ac:dyDescent="0.25">
      <c r="A254" s="53" t="s">
        <v>11</v>
      </c>
      <c r="B254" s="54"/>
      <c r="C254" s="16">
        <v>4831.5</v>
      </c>
      <c r="D254" s="22"/>
      <c r="E254" s="22"/>
      <c r="F254" s="22"/>
      <c r="H254" s="23"/>
      <c r="I254" s="21"/>
      <c r="J254" s="17"/>
      <c r="K254" s="17"/>
      <c r="L254" s="17"/>
      <c r="M254" s="17"/>
      <c r="N254" s="17"/>
      <c r="O254" s="17"/>
      <c r="P254" s="5"/>
      <c r="Q254" s="5"/>
    </row>
    <row r="255" spans="1:17" ht="15" customHeight="1" x14ac:dyDescent="0.25">
      <c r="A255" s="53" t="s">
        <v>13</v>
      </c>
      <c r="B255" s="54"/>
      <c r="C255" s="16">
        <v>39291.24</v>
      </c>
      <c r="D255" s="22"/>
      <c r="E255" s="22"/>
      <c r="F255" s="22"/>
      <c r="H255" s="20"/>
      <c r="I255" s="21"/>
      <c r="J255" s="17"/>
      <c r="K255" s="17"/>
      <c r="L255" s="17"/>
      <c r="M255" s="17"/>
      <c r="N255" s="17"/>
      <c r="O255" s="17"/>
      <c r="P255" s="5"/>
      <c r="Q255" s="5"/>
    </row>
    <row r="256" spans="1:17" ht="15" customHeight="1" x14ac:dyDescent="0.25">
      <c r="A256" s="100" t="s">
        <v>14</v>
      </c>
      <c r="B256" s="101"/>
      <c r="C256" s="16">
        <v>118262.28</v>
      </c>
      <c r="D256" s="22"/>
      <c r="E256" s="22"/>
      <c r="F256" s="22"/>
      <c r="H256" s="20"/>
      <c r="I256" s="21"/>
      <c r="J256" s="17"/>
      <c r="K256" s="17"/>
      <c r="L256" s="17"/>
      <c r="M256" s="17"/>
      <c r="N256" s="17"/>
      <c r="O256" s="17"/>
      <c r="P256" s="5"/>
      <c r="Q256" s="5"/>
    </row>
    <row r="257" spans="1:17" ht="15" customHeight="1" x14ac:dyDescent="0.25">
      <c r="A257" s="53" t="s">
        <v>12</v>
      </c>
      <c r="B257" s="54"/>
      <c r="C257" s="16">
        <f>173595.36+6860</f>
        <v>180455.36</v>
      </c>
      <c r="D257" s="22"/>
      <c r="E257" s="22"/>
      <c r="F257" s="22"/>
      <c r="H257" s="23"/>
      <c r="I257" s="21"/>
      <c r="J257" s="17"/>
      <c r="K257" s="17"/>
      <c r="L257" s="17"/>
      <c r="M257" s="17"/>
      <c r="N257" s="17"/>
      <c r="O257" s="17"/>
      <c r="P257" s="5"/>
      <c r="Q257" s="5"/>
    </row>
    <row r="258" spans="1:17" ht="15" customHeight="1" x14ac:dyDescent="0.25">
      <c r="A258" s="100" t="s">
        <v>19</v>
      </c>
      <c r="B258" s="101"/>
      <c r="C258" s="16">
        <v>10300.08</v>
      </c>
      <c r="D258" s="22"/>
      <c r="E258" s="22"/>
      <c r="F258" s="22"/>
      <c r="H258" s="20"/>
      <c r="I258" s="21"/>
      <c r="J258" s="17"/>
      <c r="K258" s="17"/>
      <c r="L258" s="17"/>
      <c r="M258" s="17"/>
      <c r="N258" s="17"/>
      <c r="O258" s="17"/>
      <c r="P258" s="5"/>
      <c r="Q258" s="5"/>
    </row>
    <row r="259" spans="1:17" ht="15" customHeight="1" x14ac:dyDescent="0.25">
      <c r="A259" s="104" t="s">
        <v>15</v>
      </c>
      <c r="B259" s="105"/>
      <c r="C259" s="16">
        <v>630093</v>
      </c>
      <c r="D259" s="22"/>
      <c r="E259" s="22"/>
      <c r="F259" s="22"/>
      <c r="H259" s="20"/>
      <c r="I259" s="21"/>
      <c r="J259" s="17"/>
      <c r="K259" s="17"/>
      <c r="L259" s="17"/>
      <c r="M259" s="17"/>
      <c r="N259" s="17"/>
      <c r="O259" s="17"/>
      <c r="P259" s="5"/>
      <c r="Q259" s="5"/>
    </row>
    <row r="260" spans="1:17" ht="15" customHeight="1" x14ac:dyDescent="0.25">
      <c r="A260" s="100" t="s">
        <v>16</v>
      </c>
      <c r="B260" s="101"/>
      <c r="C260" s="16">
        <v>217400.88</v>
      </c>
      <c r="D260" s="22"/>
      <c r="E260" s="22"/>
      <c r="F260" s="22"/>
      <c r="H260" s="20"/>
      <c r="I260" s="21"/>
      <c r="J260" s="17"/>
      <c r="K260" s="17"/>
      <c r="L260" s="17"/>
      <c r="M260" s="17"/>
      <c r="N260" s="17"/>
      <c r="O260" s="17"/>
      <c r="P260" s="5"/>
      <c r="Q260" s="5"/>
    </row>
    <row r="261" spans="1:17" ht="15" customHeight="1" thickBot="1" x14ac:dyDescent="0.3">
      <c r="A261" s="59" t="s">
        <v>17</v>
      </c>
      <c r="B261" s="60"/>
      <c r="C261" s="24">
        <v>559306.78</v>
      </c>
      <c r="D261" s="22"/>
      <c r="E261" s="22"/>
      <c r="F261" s="22"/>
      <c r="H261" s="20"/>
      <c r="I261" s="21"/>
      <c r="J261" s="17"/>
      <c r="K261" s="17"/>
      <c r="L261" s="17"/>
      <c r="M261" s="17"/>
      <c r="N261" s="17"/>
      <c r="O261" s="17"/>
      <c r="P261" s="5"/>
      <c r="Q261" s="5"/>
    </row>
    <row r="262" spans="1:17" ht="15" customHeight="1" thickBot="1" x14ac:dyDescent="0.3">
      <c r="A262" s="114" t="s">
        <v>7</v>
      </c>
      <c r="B262" s="115"/>
      <c r="C262" s="25">
        <f>SUM(C252:C261)</f>
        <v>2074613.968333333</v>
      </c>
      <c r="D262" s="22"/>
      <c r="E262" s="22"/>
      <c r="F262" s="22"/>
      <c r="H262" s="20"/>
      <c r="I262" s="21"/>
      <c r="J262" s="17"/>
      <c r="K262" s="17"/>
      <c r="L262" s="17"/>
      <c r="M262" s="17"/>
      <c r="N262" s="17"/>
      <c r="O262" s="17"/>
      <c r="P262" s="5"/>
      <c r="Q262" s="5"/>
    </row>
    <row r="263" spans="1:17" ht="5.25" customHeight="1" thickBot="1" x14ac:dyDescent="0.3">
      <c r="A263" s="63"/>
      <c r="B263" s="64"/>
      <c r="C263" s="25"/>
      <c r="D263" s="22"/>
      <c r="E263" s="22"/>
      <c r="F263" s="22"/>
      <c r="H263" s="20"/>
      <c r="I263" s="21"/>
      <c r="J263" s="17"/>
      <c r="K263" s="17"/>
      <c r="L263" s="17"/>
      <c r="M263" s="17"/>
      <c r="N263" s="17"/>
      <c r="O263" s="17"/>
      <c r="P263" s="5"/>
      <c r="Q263" s="5"/>
    </row>
    <row r="266" spans="1:17" ht="18.75" customHeight="1" x14ac:dyDescent="0.25">
      <c r="A266" s="54" t="s">
        <v>49</v>
      </c>
      <c r="B266" s="65"/>
      <c r="C266" s="52" t="s">
        <v>50</v>
      </c>
      <c r="D266" s="22"/>
      <c r="E266" s="66"/>
      <c r="F266" s="66"/>
      <c r="G266" s="42"/>
      <c r="H266" s="20"/>
      <c r="I266" s="21"/>
      <c r="J266" s="17"/>
      <c r="K266" s="17"/>
      <c r="L266" s="17"/>
      <c r="M266" s="17"/>
      <c r="N266" s="17"/>
      <c r="O266" s="17"/>
      <c r="P266" s="5"/>
      <c r="Q266" s="5"/>
    </row>
    <row r="286" spans="3:3" x14ac:dyDescent="0.25">
      <c r="C286" s="2" t="s">
        <v>47</v>
      </c>
    </row>
    <row r="287" spans="3:3" x14ac:dyDescent="0.25">
      <c r="C287" s="51" t="s">
        <v>48</v>
      </c>
    </row>
    <row r="288" spans="3:3" x14ac:dyDescent="0.25">
      <c r="C288" s="50"/>
    </row>
    <row r="289" spans="1:17" ht="16.5" thickBot="1" x14ac:dyDescent="0.3"/>
    <row r="290" spans="1:17" ht="16.5" thickBot="1" x14ac:dyDescent="0.3">
      <c r="A290" s="7" t="s">
        <v>23</v>
      </c>
      <c r="B290" s="8"/>
      <c r="C290" s="9" t="s">
        <v>62</v>
      </c>
      <c r="D290" s="2"/>
      <c r="E290" s="2"/>
      <c r="F290" s="2"/>
      <c r="G290" s="2"/>
    </row>
    <row r="291" spans="1:17" x14ac:dyDescent="0.25">
      <c r="A291" s="32" t="s">
        <v>1</v>
      </c>
      <c r="B291" s="33"/>
      <c r="C291" s="34"/>
      <c r="D291" s="2"/>
      <c r="E291" s="2"/>
      <c r="F291" s="2"/>
      <c r="G291" s="2"/>
    </row>
    <row r="292" spans="1:17" x14ac:dyDescent="0.25">
      <c r="A292" s="13" t="s">
        <v>63</v>
      </c>
      <c r="B292" s="35"/>
      <c r="C292" s="36">
        <f>(535762.88-79237.92)/1.2+79237.92</f>
        <v>459675.38666666666</v>
      </c>
      <c r="D292" s="2"/>
      <c r="E292" s="2"/>
      <c r="F292" s="2"/>
      <c r="G292" s="2"/>
    </row>
    <row r="293" spans="1:17" x14ac:dyDescent="0.25">
      <c r="A293" s="13" t="s">
        <v>2</v>
      </c>
      <c r="B293" s="35"/>
      <c r="C293" s="36">
        <f>73423.3/1.2+79237.92</f>
        <v>140424.00333333333</v>
      </c>
      <c r="D293" s="2"/>
      <c r="E293" s="2"/>
      <c r="F293" s="2"/>
      <c r="G293" s="2"/>
    </row>
    <row r="294" spans="1:17" x14ac:dyDescent="0.25">
      <c r="A294" s="100" t="s">
        <v>3</v>
      </c>
      <c r="B294" s="101"/>
      <c r="C294" s="16">
        <f>679448.4/1.2+752023.92</f>
        <v>1318230.92</v>
      </c>
      <c r="D294" s="2"/>
      <c r="E294" s="2"/>
      <c r="F294" s="2"/>
      <c r="G294" s="2"/>
    </row>
    <row r="295" spans="1:17" x14ac:dyDescent="0.25">
      <c r="A295" s="53" t="s">
        <v>6</v>
      </c>
      <c r="B295" s="54"/>
      <c r="C295" s="16">
        <f>25920/1.2</f>
        <v>21600</v>
      </c>
      <c r="E295" s="2"/>
      <c r="F295" s="2"/>
      <c r="G295" s="2"/>
    </row>
    <row r="296" spans="1:17" x14ac:dyDescent="0.25">
      <c r="A296" s="53" t="s">
        <v>4</v>
      </c>
      <c r="B296" s="54"/>
      <c r="C296" s="16">
        <v>13400</v>
      </c>
      <c r="D296" s="2"/>
      <c r="E296" s="2"/>
      <c r="F296" s="2"/>
      <c r="G296" s="2"/>
    </row>
    <row r="297" spans="1:17" x14ac:dyDescent="0.25">
      <c r="A297" s="13" t="s">
        <v>7</v>
      </c>
      <c r="B297" s="18"/>
      <c r="C297" s="19">
        <f>SUM(C294:C296)</f>
        <v>1353230.92</v>
      </c>
      <c r="D297" s="2"/>
      <c r="E297" s="2"/>
      <c r="F297" s="2"/>
      <c r="G297" s="2">
        <f>C297-C312</f>
        <v>-176885.04000000004</v>
      </c>
    </row>
    <row r="298" spans="1:17" x14ac:dyDescent="0.25">
      <c r="A298" s="13"/>
      <c r="B298" s="18"/>
      <c r="C298" s="19"/>
      <c r="D298" s="2"/>
      <c r="E298" s="2"/>
      <c r="F298" s="2"/>
      <c r="G298" s="2"/>
    </row>
    <row r="299" spans="1:17" x14ac:dyDescent="0.25">
      <c r="A299" s="108" t="s">
        <v>8</v>
      </c>
      <c r="B299" s="109"/>
      <c r="C299" s="12"/>
      <c r="D299" s="2"/>
      <c r="E299" s="2"/>
      <c r="F299" s="2"/>
      <c r="G299" s="2"/>
    </row>
    <row r="300" spans="1:17" ht="15" customHeight="1" x14ac:dyDescent="0.25">
      <c r="A300" s="102" t="s">
        <v>9</v>
      </c>
      <c r="B300" s="103"/>
      <c r="C300" s="16">
        <f>188835.22+6118.76</f>
        <v>194953.98</v>
      </c>
      <c r="D300" s="22"/>
      <c r="E300" s="22"/>
      <c r="F300" s="22"/>
      <c r="H300" s="20"/>
      <c r="I300" s="21"/>
      <c r="J300" s="17"/>
      <c r="K300" s="17"/>
      <c r="L300" s="17"/>
      <c r="M300" s="17"/>
      <c r="N300" s="17"/>
      <c r="O300" s="17"/>
      <c r="P300" s="5"/>
      <c r="Q300" s="5"/>
    </row>
    <row r="301" spans="1:17" ht="15" customHeight="1" x14ac:dyDescent="0.25">
      <c r="A301" s="86" t="s">
        <v>10</v>
      </c>
      <c r="B301" s="87"/>
      <c r="C301" s="16">
        <v>5267.33</v>
      </c>
      <c r="D301" s="22"/>
      <c r="E301" s="22"/>
      <c r="F301" s="22"/>
      <c r="H301" s="20"/>
      <c r="I301" s="21"/>
      <c r="J301" s="17"/>
      <c r="K301" s="17"/>
      <c r="L301" s="17"/>
      <c r="M301" s="17"/>
      <c r="N301" s="17"/>
      <c r="O301" s="17"/>
      <c r="P301" s="5"/>
      <c r="Q301" s="5"/>
    </row>
    <row r="302" spans="1:17" ht="15" customHeight="1" x14ac:dyDescent="0.25">
      <c r="A302" s="53" t="s">
        <v>11</v>
      </c>
      <c r="B302" s="54"/>
      <c r="C302" s="16">
        <v>4831.5</v>
      </c>
      <c r="D302" s="22"/>
      <c r="E302" s="22"/>
      <c r="F302" s="22"/>
      <c r="H302" s="20"/>
      <c r="I302" s="21"/>
      <c r="J302" s="17"/>
      <c r="K302" s="17"/>
      <c r="L302" s="17"/>
      <c r="M302" s="17"/>
      <c r="N302" s="17"/>
      <c r="O302" s="17"/>
      <c r="P302" s="5"/>
      <c r="Q302" s="5"/>
    </row>
    <row r="303" spans="1:17" ht="15" customHeight="1" x14ac:dyDescent="0.25">
      <c r="A303" s="53" t="s">
        <v>13</v>
      </c>
      <c r="B303" s="54"/>
      <c r="C303" s="16">
        <v>25824.36</v>
      </c>
      <c r="D303" s="22"/>
      <c r="E303" s="22"/>
      <c r="F303" s="22"/>
      <c r="H303" s="20"/>
      <c r="I303" s="21"/>
      <c r="J303" s="17"/>
      <c r="K303" s="17"/>
      <c r="L303" s="17"/>
      <c r="M303" s="17"/>
      <c r="N303" s="17"/>
      <c r="O303" s="17"/>
      <c r="P303" s="5"/>
      <c r="Q303" s="5"/>
    </row>
    <row r="304" spans="1:17" ht="15" customHeight="1" x14ac:dyDescent="0.25">
      <c r="A304" s="100" t="s">
        <v>14</v>
      </c>
      <c r="B304" s="101"/>
      <c r="C304" s="16">
        <v>245331.6</v>
      </c>
      <c r="D304" s="22"/>
      <c r="E304" s="22"/>
      <c r="F304" s="22"/>
      <c r="H304" s="20"/>
      <c r="I304" s="21"/>
      <c r="J304" s="17"/>
      <c r="K304" s="17"/>
      <c r="L304" s="17"/>
      <c r="M304" s="17"/>
      <c r="N304" s="17"/>
      <c r="O304" s="17"/>
      <c r="P304" s="5"/>
      <c r="Q304" s="5"/>
    </row>
    <row r="305" spans="1:17" ht="15" customHeight="1" x14ac:dyDescent="0.25">
      <c r="A305" s="100" t="s">
        <v>12</v>
      </c>
      <c r="B305" s="101"/>
      <c r="C305" s="16">
        <f>111780.96</f>
        <v>111780.96</v>
      </c>
      <c r="D305" s="22"/>
      <c r="E305" s="22"/>
      <c r="F305" s="22"/>
      <c r="H305" s="20"/>
      <c r="I305" s="21"/>
      <c r="J305" s="17"/>
      <c r="K305" s="17"/>
      <c r="L305" s="17"/>
      <c r="M305" s="17"/>
      <c r="N305" s="17"/>
      <c r="O305" s="17"/>
      <c r="P305" s="5"/>
      <c r="Q305" s="5"/>
    </row>
    <row r="306" spans="1:17" ht="29.25" customHeight="1" x14ac:dyDescent="0.25">
      <c r="A306" s="112" t="s">
        <v>55</v>
      </c>
      <c r="B306" s="113"/>
      <c r="C306" s="82">
        <v>12912.24</v>
      </c>
      <c r="D306" s="22"/>
      <c r="E306" s="22"/>
      <c r="F306" s="22"/>
      <c r="H306" s="20"/>
      <c r="I306" s="21"/>
      <c r="J306" s="17"/>
      <c r="K306" s="17"/>
      <c r="L306" s="17"/>
      <c r="M306" s="17"/>
      <c r="N306" s="17"/>
      <c r="O306" s="17"/>
      <c r="P306" s="5"/>
      <c r="Q306" s="5"/>
    </row>
    <row r="307" spans="1:17" ht="15" customHeight="1" x14ac:dyDescent="0.25">
      <c r="A307" s="100" t="s">
        <v>19</v>
      </c>
      <c r="B307" s="101"/>
      <c r="C307" s="16">
        <v>6495</v>
      </c>
      <c r="D307" s="22"/>
      <c r="E307" s="22"/>
      <c r="F307" s="22"/>
      <c r="H307" s="20"/>
      <c r="I307" s="21"/>
      <c r="J307" s="17"/>
      <c r="K307" s="17"/>
      <c r="L307" s="17"/>
      <c r="M307" s="17"/>
      <c r="N307" s="17"/>
      <c r="O307" s="17"/>
      <c r="P307" s="5"/>
      <c r="Q307" s="5"/>
    </row>
    <row r="308" spans="1:17" ht="15" customHeight="1" x14ac:dyDescent="0.25">
      <c r="A308" s="104" t="s">
        <v>15</v>
      </c>
      <c r="B308" s="105"/>
      <c r="C308" s="16">
        <v>352636.44</v>
      </c>
      <c r="D308" s="22"/>
      <c r="E308" s="22"/>
      <c r="F308" s="22"/>
      <c r="H308" s="20"/>
      <c r="I308" s="21"/>
      <c r="J308" s="17"/>
      <c r="K308" s="17"/>
      <c r="L308" s="17"/>
      <c r="M308" s="17"/>
      <c r="N308" s="17"/>
      <c r="O308" s="17"/>
      <c r="P308" s="5"/>
      <c r="Q308" s="5"/>
    </row>
    <row r="309" spans="1:17" ht="15" customHeight="1" x14ac:dyDescent="0.25">
      <c r="A309" s="88" t="s">
        <v>58</v>
      </c>
      <c r="B309" s="89"/>
      <c r="C309" s="16">
        <v>64282.3</v>
      </c>
      <c r="D309" s="22"/>
      <c r="E309" s="22"/>
      <c r="F309" s="22"/>
      <c r="H309" s="20"/>
      <c r="I309" s="21"/>
      <c r="J309" s="17"/>
      <c r="K309" s="17"/>
      <c r="L309" s="17"/>
      <c r="M309" s="17"/>
      <c r="N309" s="17"/>
      <c r="O309" s="17"/>
      <c r="P309" s="5"/>
      <c r="Q309" s="5"/>
    </row>
    <row r="310" spans="1:17" ht="15" customHeight="1" x14ac:dyDescent="0.25">
      <c r="A310" s="100" t="s">
        <v>16</v>
      </c>
      <c r="B310" s="101"/>
      <c r="C310" s="16">
        <v>154055.76</v>
      </c>
      <c r="D310" s="22"/>
      <c r="E310" s="22"/>
      <c r="F310" s="22"/>
      <c r="H310" s="20"/>
      <c r="I310" s="21"/>
      <c r="J310" s="17"/>
      <c r="K310" s="17"/>
      <c r="L310" s="17"/>
      <c r="M310" s="17"/>
      <c r="N310" s="17"/>
      <c r="O310" s="17"/>
      <c r="P310" s="5"/>
      <c r="Q310" s="5"/>
    </row>
    <row r="311" spans="1:17" ht="15" customHeight="1" x14ac:dyDescent="0.25">
      <c r="A311" s="53" t="s">
        <v>17</v>
      </c>
      <c r="B311" s="54"/>
      <c r="C311" s="16">
        <v>351744.49</v>
      </c>
      <c r="D311" s="22"/>
      <c r="E311" s="22"/>
      <c r="F311" s="22"/>
      <c r="H311" s="20"/>
      <c r="I311" s="21"/>
      <c r="J311" s="17"/>
      <c r="K311" s="17"/>
      <c r="L311" s="17"/>
      <c r="M311" s="17"/>
      <c r="N311" s="17"/>
      <c r="O311" s="17"/>
      <c r="P311" s="5"/>
      <c r="Q311" s="5"/>
    </row>
    <row r="312" spans="1:17" ht="15" customHeight="1" thickBot="1" x14ac:dyDescent="0.3">
      <c r="A312" s="106" t="s">
        <v>7</v>
      </c>
      <c r="B312" s="107"/>
      <c r="C312" s="28">
        <f>SUM(C300:C311)</f>
        <v>1530115.96</v>
      </c>
      <c r="D312" s="22"/>
      <c r="E312" s="22"/>
      <c r="F312" s="22"/>
      <c r="G312" s="4"/>
      <c r="H312" s="23"/>
      <c r="I312" s="21"/>
      <c r="J312" s="17"/>
      <c r="K312" s="17"/>
      <c r="L312" s="17"/>
      <c r="M312" s="17"/>
      <c r="N312" s="17"/>
      <c r="O312" s="17"/>
      <c r="P312" s="5"/>
      <c r="Q312" s="5"/>
    </row>
    <row r="313" spans="1:17" ht="4.5" customHeight="1" thickBot="1" x14ac:dyDescent="0.3">
      <c r="A313" s="55"/>
      <c r="B313" s="56"/>
      <c r="C313" s="28"/>
      <c r="D313" s="22"/>
      <c r="E313" s="22"/>
      <c r="F313" s="22"/>
      <c r="G313" s="4"/>
      <c r="H313" s="23"/>
      <c r="I313" s="21"/>
      <c r="J313" s="17"/>
      <c r="K313" s="17"/>
      <c r="L313" s="17"/>
      <c r="M313" s="17"/>
      <c r="N313" s="17"/>
      <c r="O313" s="17"/>
      <c r="P313" s="5"/>
      <c r="Q313" s="5"/>
    </row>
    <row r="317" spans="1:17" ht="18.75" customHeight="1" x14ac:dyDescent="0.25">
      <c r="A317" s="54" t="s">
        <v>49</v>
      </c>
      <c r="B317" s="65"/>
      <c r="C317" s="52" t="s">
        <v>50</v>
      </c>
      <c r="D317" s="22"/>
      <c r="E317" s="66"/>
      <c r="F317" s="66"/>
      <c r="G317" s="42"/>
      <c r="H317" s="20"/>
      <c r="I317" s="21"/>
      <c r="J317" s="17"/>
      <c r="K317" s="17"/>
      <c r="L317" s="17"/>
      <c r="M317" s="17"/>
      <c r="N317" s="17"/>
      <c r="O317" s="17"/>
      <c r="P317" s="5"/>
      <c r="Q317" s="5"/>
    </row>
    <row r="334" spans="3:3" x14ac:dyDescent="0.25">
      <c r="C334" s="2" t="s">
        <v>47</v>
      </c>
    </row>
    <row r="335" spans="3:3" x14ac:dyDescent="0.25">
      <c r="C335" s="51" t="s">
        <v>48</v>
      </c>
    </row>
    <row r="336" spans="3:3" x14ac:dyDescent="0.25">
      <c r="C336" s="50"/>
    </row>
    <row r="337" spans="1:17" ht="16.5" thickBot="1" x14ac:dyDescent="0.3"/>
    <row r="338" spans="1:17" ht="16.5" thickBot="1" x14ac:dyDescent="0.3">
      <c r="A338" s="7" t="s">
        <v>24</v>
      </c>
      <c r="B338" s="8"/>
      <c r="C338" s="9" t="s">
        <v>62</v>
      </c>
      <c r="D338" s="2"/>
      <c r="E338" s="2"/>
      <c r="F338" s="2"/>
      <c r="G338" s="2"/>
    </row>
    <row r="339" spans="1:17" ht="16.5" thickBot="1" x14ac:dyDescent="0.3">
      <c r="A339" s="29" t="s">
        <v>1</v>
      </c>
      <c r="B339" s="30"/>
      <c r="C339" s="6"/>
      <c r="D339" s="2"/>
      <c r="E339" s="2"/>
      <c r="F339" s="2"/>
      <c r="G339" s="2"/>
    </row>
    <row r="340" spans="1:17" x14ac:dyDescent="0.25">
      <c r="A340" s="13" t="s">
        <v>63</v>
      </c>
      <c r="B340" s="38"/>
      <c r="C340" s="37">
        <f>(407935.3-77986.97)/1.2+77986.97</f>
        <v>352943.91166666662</v>
      </c>
      <c r="D340" s="2"/>
      <c r="E340" s="2"/>
      <c r="F340" s="2"/>
      <c r="G340" s="2"/>
    </row>
    <row r="341" spans="1:17" x14ac:dyDescent="0.25">
      <c r="A341" s="13" t="s">
        <v>2</v>
      </c>
      <c r="B341" s="14"/>
      <c r="C341" s="15">
        <f>72968.27/1.2+77986.97</f>
        <v>138793.86166666666</v>
      </c>
      <c r="D341" s="2"/>
      <c r="E341" s="2"/>
      <c r="F341" s="2"/>
      <c r="G341" s="2"/>
    </row>
    <row r="342" spans="1:17" x14ac:dyDescent="0.25">
      <c r="A342" s="100" t="s">
        <v>3</v>
      </c>
      <c r="B342" s="101"/>
      <c r="C342" s="16">
        <f>598454.52/1.2+662378.46</f>
        <v>1161090.5600000001</v>
      </c>
      <c r="D342" s="2"/>
      <c r="E342" s="2"/>
      <c r="F342" s="2"/>
      <c r="G342" s="2"/>
    </row>
    <row r="343" spans="1:17" x14ac:dyDescent="0.25">
      <c r="A343" s="53" t="s">
        <v>6</v>
      </c>
      <c r="B343" s="54"/>
      <c r="C343" s="16">
        <f>34080/1.2</f>
        <v>28400</v>
      </c>
      <c r="D343" s="2"/>
      <c r="E343" s="2"/>
      <c r="F343" s="2"/>
      <c r="G343" s="2"/>
    </row>
    <row r="344" spans="1:17" x14ac:dyDescent="0.25">
      <c r="A344" s="53" t="s">
        <v>4</v>
      </c>
      <c r="B344" s="54"/>
      <c r="C344" s="16">
        <v>15650</v>
      </c>
      <c r="D344" s="2"/>
      <c r="E344" s="2"/>
      <c r="F344" s="2"/>
      <c r="G344" s="2"/>
    </row>
    <row r="345" spans="1:17" x14ac:dyDescent="0.25">
      <c r="A345" s="13" t="s">
        <v>7</v>
      </c>
      <c r="B345" s="18"/>
      <c r="C345" s="19">
        <f>SUM(C342:C344)</f>
        <v>1205140.56</v>
      </c>
      <c r="D345" s="2"/>
      <c r="E345" s="2"/>
      <c r="F345" s="2"/>
      <c r="G345" s="2">
        <f>C345-C360</f>
        <v>-82410.368333333172</v>
      </c>
    </row>
    <row r="346" spans="1:17" x14ac:dyDescent="0.25">
      <c r="A346" s="13"/>
      <c r="B346" s="18"/>
      <c r="C346" s="19"/>
      <c r="D346" s="2"/>
      <c r="E346" s="2"/>
      <c r="F346" s="2"/>
      <c r="G346" s="2"/>
    </row>
    <row r="347" spans="1:17" x14ac:dyDescent="0.25">
      <c r="A347" s="108" t="s">
        <v>8</v>
      </c>
      <c r="B347" s="109"/>
      <c r="C347" s="12"/>
      <c r="D347" s="2"/>
      <c r="E347" s="2"/>
      <c r="F347" s="2"/>
      <c r="G347" s="2"/>
      <c r="H347" s="6"/>
    </row>
    <row r="348" spans="1:17" ht="15" customHeight="1" x14ac:dyDescent="0.25">
      <c r="A348" s="102" t="s">
        <v>9</v>
      </c>
      <c r="B348" s="103"/>
      <c r="C348" s="16">
        <f>6230.76+166023.4</f>
        <v>172254.16</v>
      </c>
      <c r="D348" s="22"/>
      <c r="E348" s="22"/>
      <c r="F348" s="22"/>
      <c r="H348" s="20"/>
      <c r="I348" s="21"/>
      <c r="J348" s="17"/>
      <c r="K348" s="17"/>
      <c r="L348" s="17"/>
      <c r="M348" s="17"/>
      <c r="N348" s="17"/>
      <c r="O348" s="17"/>
      <c r="P348" s="5"/>
      <c r="Q348" s="5"/>
    </row>
    <row r="349" spans="1:17" ht="15" customHeight="1" x14ac:dyDescent="0.25">
      <c r="A349" s="90" t="s">
        <v>10</v>
      </c>
      <c r="B349" s="91"/>
      <c r="C349" s="16">
        <f>4616.83/1.2</f>
        <v>3847.3583333333336</v>
      </c>
      <c r="D349" s="22"/>
      <c r="E349" s="22"/>
      <c r="F349" s="22"/>
      <c r="H349" s="20"/>
      <c r="I349" s="21"/>
      <c r="J349" s="17"/>
      <c r="K349" s="17"/>
      <c r="L349" s="17"/>
      <c r="M349" s="17"/>
      <c r="N349" s="17"/>
      <c r="O349" s="17"/>
      <c r="P349" s="5"/>
      <c r="Q349" s="5"/>
    </row>
    <row r="350" spans="1:17" ht="15" customHeight="1" x14ac:dyDescent="0.25">
      <c r="A350" s="53" t="s">
        <v>11</v>
      </c>
      <c r="B350" s="54"/>
      <c r="C350" s="16">
        <v>4831.5</v>
      </c>
      <c r="D350" s="22"/>
      <c r="E350" s="22"/>
      <c r="F350" s="22"/>
      <c r="H350" s="20"/>
      <c r="I350" s="21"/>
      <c r="J350" s="17"/>
      <c r="K350" s="17"/>
      <c r="L350" s="17"/>
      <c r="M350" s="17"/>
      <c r="N350" s="17"/>
      <c r="O350" s="17"/>
      <c r="P350" s="5"/>
      <c r="Q350" s="5"/>
    </row>
    <row r="351" spans="1:17" ht="15" customHeight="1" x14ac:dyDescent="0.25">
      <c r="A351" s="69" t="s">
        <v>57</v>
      </c>
      <c r="B351" s="70"/>
      <c r="C351" s="16"/>
      <c r="D351" s="22"/>
      <c r="E351" s="22"/>
      <c r="F351" s="22"/>
      <c r="H351" s="20"/>
      <c r="I351" s="21"/>
      <c r="J351" s="17"/>
      <c r="K351" s="17"/>
      <c r="L351" s="17"/>
      <c r="M351" s="17"/>
      <c r="N351" s="17"/>
      <c r="O351" s="17"/>
      <c r="P351" s="5"/>
      <c r="Q351" s="5"/>
    </row>
    <row r="352" spans="1:17" ht="15" customHeight="1" x14ac:dyDescent="0.25">
      <c r="A352" s="53" t="s">
        <v>13</v>
      </c>
      <c r="B352" s="54"/>
      <c r="C352" s="16">
        <v>22746</v>
      </c>
      <c r="D352" s="22"/>
      <c r="E352" s="22"/>
      <c r="F352" s="22"/>
      <c r="H352" s="20"/>
      <c r="I352" s="21"/>
      <c r="J352" s="17"/>
      <c r="K352" s="17"/>
      <c r="L352" s="17"/>
      <c r="M352" s="17"/>
      <c r="N352" s="17"/>
      <c r="O352" s="17"/>
      <c r="P352" s="5"/>
      <c r="Q352" s="5"/>
    </row>
    <row r="353" spans="1:17" ht="15" customHeight="1" x14ac:dyDescent="0.25">
      <c r="A353" s="100" t="s">
        <v>14</v>
      </c>
      <c r="B353" s="101"/>
      <c r="C353" s="16">
        <v>216086.76</v>
      </c>
      <c r="D353" s="22"/>
      <c r="E353" s="22"/>
      <c r="F353" s="22"/>
      <c r="H353" s="20"/>
      <c r="I353" s="21"/>
      <c r="J353" s="17"/>
      <c r="K353" s="17"/>
      <c r="L353" s="17"/>
      <c r="M353" s="17"/>
      <c r="N353" s="17"/>
      <c r="O353" s="17"/>
      <c r="P353" s="5"/>
      <c r="Q353" s="5"/>
    </row>
    <row r="354" spans="1:17" ht="15" customHeight="1" x14ac:dyDescent="0.25">
      <c r="A354" s="100" t="s">
        <v>12</v>
      </c>
      <c r="B354" s="101"/>
      <c r="C354" s="16">
        <v>96478.76</v>
      </c>
      <c r="D354" s="22"/>
      <c r="E354" s="22"/>
      <c r="F354" s="22"/>
      <c r="H354" s="20"/>
      <c r="I354" s="21"/>
      <c r="J354" s="17"/>
      <c r="K354" s="17"/>
      <c r="L354" s="17"/>
      <c r="M354" s="17"/>
      <c r="N354" s="17"/>
      <c r="O354" s="17"/>
      <c r="P354" s="5"/>
      <c r="Q354" s="5"/>
    </row>
    <row r="355" spans="1:17" ht="32.25" customHeight="1" x14ac:dyDescent="0.25">
      <c r="A355" s="112" t="s">
        <v>55</v>
      </c>
      <c r="B355" s="113"/>
      <c r="C355" s="16">
        <v>11373</v>
      </c>
      <c r="D355" s="22"/>
      <c r="E355" s="22"/>
      <c r="F355" s="22"/>
      <c r="H355" s="20"/>
      <c r="I355" s="21"/>
      <c r="J355" s="17"/>
      <c r="K355" s="17"/>
      <c r="L355" s="17"/>
      <c r="M355" s="17"/>
      <c r="N355" s="17"/>
      <c r="O355" s="17"/>
      <c r="P355" s="5"/>
      <c r="Q355" s="5"/>
    </row>
    <row r="356" spans="1:17" ht="16.5" customHeight="1" x14ac:dyDescent="0.25">
      <c r="A356" s="69" t="s">
        <v>15</v>
      </c>
      <c r="B356" s="81"/>
      <c r="C356" s="16">
        <v>310600.2</v>
      </c>
      <c r="D356" s="22"/>
      <c r="E356" s="22"/>
      <c r="F356" s="22"/>
      <c r="H356" s="20"/>
      <c r="I356" s="21"/>
      <c r="J356" s="17"/>
      <c r="K356" s="17"/>
      <c r="L356" s="17"/>
      <c r="M356" s="17"/>
      <c r="N356" s="17"/>
      <c r="O356" s="17"/>
      <c r="P356" s="5"/>
      <c r="Q356" s="5"/>
    </row>
    <row r="357" spans="1:17" ht="16.5" customHeight="1" x14ac:dyDescent="0.25">
      <c r="A357" s="90" t="s">
        <v>58</v>
      </c>
      <c r="B357" s="95"/>
      <c r="C357" s="16">
        <v>4388.91</v>
      </c>
      <c r="D357" s="22"/>
      <c r="E357" s="22"/>
      <c r="F357" s="22"/>
      <c r="H357" s="20"/>
      <c r="I357" s="21"/>
      <c r="J357" s="17"/>
      <c r="K357" s="17"/>
      <c r="L357" s="17"/>
      <c r="M357" s="17"/>
      <c r="N357" s="17"/>
      <c r="O357" s="17"/>
      <c r="P357" s="5"/>
      <c r="Q357" s="5"/>
    </row>
    <row r="358" spans="1:17" ht="15" customHeight="1" x14ac:dyDescent="0.25">
      <c r="A358" s="100" t="s">
        <v>16</v>
      </c>
      <c r="B358" s="101"/>
      <c r="C358" s="16">
        <v>135691.5</v>
      </c>
      <c r="D358" s="22"/>
      <c r="E358" s="22"/>
      <c r="F358" s="22"/>
      <c r="H358" s="20"/>
      <c r="I358" s="21"/>
      <c r="J358" s="17"/>
      <c r="K358" s="17"/>
      <c r="L358" s="17"/>
      <c r="M358" s="17"/>
      <c r="N358" s="17"/>
      <c r="O358" s="17"/>
      <c r="P358" s="5"/>
      <c r="Q358" s="5"/>
    </row>
    <row r="359" spans="1:17" ht="15" customHeight="1" thickBot="1" x14ac:dyDescent="0.3">
      <c r="A359" s="59" t="s">
        <v>17</v>
      </c>
      <c r="B359" s="60"/>
      <c r="C359" s="24">
        <v>309252.78000000003</v>
      </c>
      <c r="D359" s="22"/>
      <c r="E359" s="22"/>
      <c r="F359" s="22"/>
      <c r="H359" s="20"/>
      <c r="I359" s="21"/>
      <c r="J359" s="17"/>
      <c r="K359" s="17"/>
      <c r="L359" s="17"/>
      <c r="M359" s="17"/>
      <c r="N359" s="17"/>
      <c r="O359" s="17"/>
      <c r="P359" s="5"/>
      <c r="Q359" s="5"/>
    </row>
    <row r="360" spans="1:17" ht="15" customHeight="1" thickBot="1" x14ac:dyDescent="0.3">
      <c r="A360" s="106" t="s">
        <v>7</v>
      </c>
      <c r="B360" s="107"/>
      <c r="C360" s="28">
        <f>SUM(C348:C359)</f>
        <v>1287550.9283333332</v>
      </c>
      <c r="D360" s="22"/>
      <c r="E360" s="22"/>
      <c r="F360" s="22"/>
      <c r="H360" s="20"/>
      <c r="I360" s="21"/>
      <c r="J360" s="17"/>
      <c r="K360" s="17"/>
      <c r="L360" s="17"/>
      <c r="M360" s="17"/>
      <c r="N360" s="17"/>
      <c r="O360" s="17"/>
      <c r="P360" s="5"/>
      <c r="Q360" s="5"/>
    </row>
    <row r="361" spans="1:17" ht="5.25" customHeight="1" thickBot="1" x14ac:dyDescent="0.3">
      <c r="A361" s="55"/>
      <c r="B361" s="56"/>
      <c r="C361" s="28"/>
      <c r="D361" s="22"/>
      <c r="E361" s="22"/>
      <c r="F361" s="22"/>
      <c r="H361" s="20"/>
      <c r="I361" s="21"/>
      <c r="J361" s="17"/>
      <c r="K361" s="17"/>
      <c r="L361" s="17"/>
      <c r="M361" s="17"/>
      <c r="N361" s="17"/>
      <c r="O361" s="17"/>
      <c r="P361" s="5"/>
      <c r="Q361" s="5"/>
    </row>
    <row r="365" spans="1:17" ht="18.75" customHeight="1" x14ac:dyDescent="0.25">
      <c r="A365" s="54" t="s">
        <v>49</v>
      </c>
      <c r="B365" s="65"/>
      <c r="C365" s="52" t="s">
        <v>50</v>
      </c>
      <c r="D365" s="22"/>
      <c r="E365" s="66"/>
      <c r="F365" s="66"/>
      <c r="G365" s="42"/>
      <c r="H365" s="20"/>
      <c r="I365" s="21"/>
      <c r="J365" s="17"/>
      <c r="K365" s="17"/>
      <c r="L365" s="17"/>
      <c r="M365" s="17"/>
      <c r="N365" s="17"/>
      <c r="O365" s="17"/>
      <c r="P365" s="5"/>
      <c r="Q365" s="5"/>
    </row>
    <row r="381" spans="3:3" x14ac:dyDescent="0.25">
      <c r="C381" s="2" t="s">
        <v>47</v>
      </c>
    </row>
    <row r="382" spans="3:3" x14ac:dyDescent="0.25">
      <c r="C382" s="51" t="s">
        <v>48</v>
      </c>
    </row>
    <row r="383" spans="3:3" x14ac:dyDescent="0.25">
      <c r="C383" s="50"/>
    </row>
    <row r="384" spans="3:3" ht="16.5" thickBot="1" x14ac:dyDescent="0.3"/>
    <row r="385" spans="1:17" ht="16.5" thickBot="1" x14ac:dyDescent="0.3">
      <c r="A385" s="7" t="s">
        <v>25</v>
      </c>
      <c r="B385" s="8"/>
      <c r="C385" s="9" t="s">
        <v>62</v>
      </c>
      <c r="D385" s="2"/>
      <c r="E385" s="2"/>
      <c r="F385" s="2"/>
      <c r="G385" s="2"/>
      <c r="H385" s="6"/>
    </row>
    <row r="386" spans="1:17" x14ac:dyDescent="0.25">
      <c r="A386" s="10" t="s">
        <v>1</v>
      </c>
      <c r="B386" s="11"/>
      <c r="C386" s="37"/>
      <c r="D386" s="2"/>
      <c r="E386" s="2"/>
      <c r="F386" s="2"/>
      <c r="G386" s="2"/>
      <c r="H386" s="6"/>
    </row>
    <row r="387" spans="1:17" x14ac:dyDescent="0.25">
      <c r="A387" s="13" t="s">
        <v>63</v>
      </c>
      <c r="B387" s="14"/>
      <c r="C387" s="15">
        <f>(986654.78-155071.05-4928.77)/1.2+155071.05+4928.77</f>
        <v>848878.95333333337</v>
      </c>
      <c r="D387" s="2"/>
      <c r="E387" s="2"/>
      <c r="F387" s="2"/>
      <c r="G387" s="2"/>
      <c r="H387" s="6"/>
    </row>
    <row r="388" spans="1:17" x14ac:dyDescent="0.25">
      <c r="A388" s="13" t="s">
        <v>2</v>
      </c>
      <c r="B388" s="14"/>
      <c r="C388" s="15">
        <f>145869.33/1.2+155071.05</f>
        <v>276628.82499999995</v>
      </c>
      <c r="D388" s="2"/>
      <c r="E388" s="2"/>
      <c r="F388" s="2"/>
      <c r="G388" s="2"/>
      <c r="H388" s="6"/>
    </row>
    <row r="389" spans="1:17" ht="13.5" customHeight="1" x14ac:dyDescent="0.25">
      <c r="A389" s="100" t="s">
        <v>3</v>
      </c>
      <c r="B389" s="101"/>
      <c r="C389" s="16">
        <f>1266128.4/1.2+1401369.96</f>
        <v>2456476.96</v>
      </c>
      <c r="D389" s="2"/>
      <c r="E389" s="2"/>
      <c r="F389" s="2"/>
      <c r="G389" s="2"/>
      <c r="H389" s="6"/>
    </row>
    <row r="390" spans="1:17" x14ac:dyDescent="0.25">
      <c r="A390" s="100" t="s">
        <v>60</v>
      </c>
      <c r="B390" s="101"/>
      <c r="C390" s="16">
        <f>63522.48/1.2+70307.7</f>
        <v>123243.1</v>
      </c>
      <c r="D390" s="2"/>
      <c r="E390" s="2"/>
      <c r="F390" s="2"/>
      <c r="G390" s="2"/>
      <c r="H390" s="6"/>
    </row>
    <row r="391" spans="1:17" x14ac:dyDescent="0.25">
      <c r="A391" s="53" t="s">
        <v>5</v>
      </c>
      <c r="B391" s="54"/>
      <c r="C391" s="16">
        <f>793800/1.2</f>
        <v>661500</v>
      </c>
      <c r="D391" s="2"/>
      <c r="E391" s="2"/>
      <c r="F391" s="2"/>
      <c r="G391" s="2"/>
      <c r="H391" s="6"/>
    </row>
    <row r="392" spans="1:17" x14ac:dyDescent="0.25">
      <c r="A392" s="53" t="s">
        <v>42</v>
      </c>
      <c r="B392" s="54"/>
      <c r="C392" s="16">
        <f>24340</f>
        <v>24340</v>
      </c>
      <c r="D392" s="2"/>
      <c r="E392" s="2"/>
      <c r="F392" s="2"/>
      <c r="G392" s="2"/>
      <c r="H392" s="6"/>
    </row>
    <row r="393" spans="1:17" x14ac:dyDescent="0.25">
      <c r="A393" s="53" t="s">
        <v>6</v>
      </c>
      <c r="B393" s="54"/>
      <c r="C393" s="16">
        <f>50400/1.2</f>
        <v>42000</v>
      </c>
      <c r="D393" s="2"/>
      <c r="E393" s="2"/>
      <c r="F393" s="2"/>
      <c r="G393" s="2"/>
      <c r="H393" s="6"/>
    </row>
    <row r="394" spans="1:17" x14ac:dyDescent="0.25">
      <c r="A394" s="53" t="s">
        <v>4</v>
      </c>
      <c r="B394" s="54"/>
      <c r="C394" s="16">
        <v>15650</v>
      </c>
      <c r="D394" s="2"/>
      <c r="E394" s="2"/>
      <c r="F394" s="2"/>
      <c r="G394" s="2"/>
      <c r="H394" s="6"/>
    </row>
    <row r="395" spans="1:17" x14ac:dyDescent="0.25">
      <c r="A395" s="13" t="s">
        <v>7</v>
      </c>
      <c r="B395" s="18"/>
      <c r="C395" s="19">
        <f>SUM(C389:C394)</f>
        <v>3323210.06</v>
      </c>
      <c r="D395" s="2"/>
      <c r="E395" s="2"/>
      <c r="F395" s="2"/>
      <c r="G395" s="2">
        <f>C395-C412</f>
        <v>-181135.9700000002</v>
      </c>
      <c r="H395" s="6"/>
    </row>
    <row r="396" spans="1:17" x14ac:dyDescent="0.25">
      <c r="A396" s="13"/>
      <c r="B396" s="18"/>
      <c r="C396" s="19"/>
      <c r="D396" s="2"/>
      <c r="E396" s="2"/>
      <c r="F396" s="2"/>
      <c r="G396" s="2"/>
      <c r="H396" s="6"/>
    </row>
    <row r="397" spans="1:17" x14ac:dyDescent="0.25">
      <c r="A397" s="108" t="s">
        <v>8</v>
      </c>
      <c r="B397" s="109"/>
      <c r="C397" s="12"/>
      <c r="D397" s="2"/>
      <c r="E397" s="2"/>
      <c r="F397" s="2"/>
      <c r="G397" s="2"/>
      <c r="H397" s="6"/>
    </row>
    <row r="398" spans="1:17" ht="15" customHeight="1" x14ac:dyDescent="0.25">
      <c r="A398" s="102" t="s">
        <v>9</v>
      </c>
      <c r="B398" s="103"/>
      <c r="C398" s="16">
        <f>7039.64+351097.94</f>
        <v>358137.58</v>
      </c>
      <c r="D398" s="22"/>
      <c r="E398" s="22"/>
      <c r="F398" s="22"/>
      <c r="H398" s="23"/>
      <c r="I398" s="21"/>
      <c r="J398" s="17"/>
      <c r="K398" s="17"/>
      <c r="L398" s="17"/>
      <c r="M398" s="17"/>
      <c r="N398" s="17"/>
      <c r="O398" s="17"/>
      <c r="P398" s="5"/>
      <c r="Q398" s="5"/>
    </row>
    <row r="399" spans="1:17" ht="15" customHeight="1" x14ac:dyDescent="0.25">
      <c r="A399" s="69" t="s">
        <v>10</v>
      </c>
      <c r="B399" s="70"/>
      <c r="C399" s="16">
        <v>6188.16</v>
      </c>
      <c r="D399" s="22"/>
      <c r="E399" s="22"/>
      <c r="F399" s="22"/>
      <c r="H399" s="23"/>
      <c r="I399" s="21"/>
      <c r="J399" s="17"/>
      <c r="K399" s="17"/>
      <c r="L399" s="17"/>
      <c r="M399" s="17"/>
      <c r="N399" s="17"/>
      <c r="O399" s="17"/>
      <c r="P399" s="5"/>
      <c r="Q399" s="5"/>
    </row>
    <row r="400" spans="1:17" ht="15" customHeight="1" x14ac:dyDescent="0.25">
      <c r="A400" s="53" t="s">
        <v>11</v>
      </c>
      <c r="B400" s="54"/>
      <c r="C400" s="16">
        <v>4831.5</v>
      </c>
      <c r="D400" s="22"/>
      <c r="E400" s="22"/>
      <c r="F400" s="22"/>
      <c r="H400" s="23"/>
      <c r="I400" s="21"/>
      <c r="J400" s="17"/>
      <c r="K400" s="17"/>
      <c r="L400" s="17"/>
      <c r="M400" s="17"/>
      <c r="N400" s="17"/>
      <c r="O400" s="17"/>
      <c r="P400" s="5"/>
      <c r="Q400" s="5"/>
    </row>
    <row r="401" spans="1:17" ht="15" customHeight="1" x14ac:dyDescent="0.25">
      <c r="A401" s="53" t="s">
        <v>26</v>
      </c>
      <c r="B401" s="54"/>
      <c r="C401" s="16">
        <v>12000</v>
      </c>
      <c r="D401" s="22"/>
      <c r="E401" s="22"/>
      <c r="F401" s="22"/>
      <c r="H401" s="23"/>
      <c r="I401" s="21"/>
      <c r="J401" s="17"/>
      <c r="K401" s="17"/>
      <c r="L401" s="17"/>
      <c r="M401" s="17"/>
      <c r="N401" s="17"/>
      <c r="O401" s="17"/>
      <c r="P401" s="5"/>
      <c r="Q401" s="5"/>
    </row>
    <row r="402" spans="1:17" ht="15" customHeight="1" x14ac:dyDescent="0.25">
      <c r="A402" s="53" t="s">
        <v>13</v>
      </c>
      <c r="B402" s="54"/>
      <c r="C402" s="16">
        <v>48115.92</v>
      </c>
      <c r="D402" s="22"/>
      <c r="E402" s="22"/>
      <c r="F402" s="22"/>
      <c r="H402" s="20"/>
      <c r="I402" s="21"/>
      <c r="J402" s="17"/>
      <c r="K402" s="17"/>
      <c r="L402" s="17"/>
      <c r="M402" s="17"/>
      <c r="N402" s="17"/>
      <c r="O402" s="17"/>
      <c r="P402" s="5"/>
      <c r="Q402" s="5"/>
    </row>
    <row r="403" spans="1:17" ht="15" customHeight="1" x14ac:dyDescent="0.25">
      <c r="A403" s="100" t="s">
        <v>14</v>
      </c>
      <c r="B403" s="101"/>
      <c r="C403" s="16">
        <v>491277.6</v>
      </c>
      <c r="D403" s="22"/>
      <c r="E403" s="22"/>
      <c r="F403" s="22"/>
      <c r="H403" s="20"/>
      <c r="I403" s="21"/>
      <c r="J403" s="17"/>
      <c r="K403" s="17"/>
      <c r="L403" s="17"/>
      <c r="M403" s="17"/>
      <c r="N403" s="17"/>
      <c r="O403" s="17"/>
      <c r="P403" s="5"/>
      <c r="Q403" s="5"/>
    </row>
    <row r="404" spans="1:17" x14ac:dyDescent="0.25">
      <c r="A404" s="100" t="s">
        <v>12</v>
      </c>
      <c r="B404" s="101"/>
      <c r="C404" s="16">
        <v>221686.24</v>
      </c>
      <c r="D404" s="2"/>
      <c r="E404" s="2"/>
      <c r="F404" s="2"/>
      <c r="G404" s="2"/>
      <c r="H404" s="6"/>
    </row>
    <row r="405" spans="1:17" ht="30.75" customHeight="1" x14ac:dyDescent="0.25">
      <c r="A405" s="112" t="s">
        <v>55</v>
      </c>
      <c r="B405" s="113"/>
      <c r="C405" s="82">
        <v>25856.76</v>
      </c>
      <c r="D405" s="2"/>
      <c r="E405" s="2"/>
      <c r="F405" s="2"/>
      <c r="G405" s="2"/>
      <c r="H405" s="6"/>
    </row>
    <row r="406" spans="1:17" ht="15" customHeight="1" x14ac:dyDescent="0.25">
      <c r="A406" s="53" t="s">
        <v>5</v>
      </c>
      <c r="B406" s="54"/>
      <c r="C406" s="16">
        <v>661500</v>
      </c>
      <c r="D406" s="22"/>
      <c r="E406" s="22"/>
      <c r="F406" s="22"/>
      <c r="H406" s="23"/>
      <c r="I406" s="21"/>
      <c r="J406" s="17"/>
      <c r="K406" s="17"/>
      <c r="L406" s="17"/>
      <c r="M406" s="17"/>
      <c r="N406" s="17"/>
      <c r="O406" s="17"/>
      <c r="P406" s="5"/>
      <c r="Q406" s="5"/>
    </row>
    <row r="407" spans="1:17" ht="15" customHeight="1" x14ac:dyDescent="0.25">
      <c r="A407" s="100" t="s">
        <v>19</v>
      </c>
      <c r="B407" s="101"/>
      <c r="C407" s="16">
        <v>12999.24</v>
      </c>
      <c r="D407" s="22"/>
      <c r="E407" s="22"/>
      <c r="F407" s="22"/>
      <c r="H407" s="20"/>
      <c r="I407" s="21"/>
      <c r="J407" s="17"/>
      <c r="K407" s="17"/>
      <c r="L407" s="17"/>
      <c r="M407" s="17"/>
      <c r="N407" s="17"/>
      <c r="O407" s="17"/>
      <c r="P407" s="5"/>
      <c r="Q407" s="5"/>
    </row>
    <row r="408" spans="1:17" ht="15" customHeight="1" x14ac:dyDescent="0.25">
      <c r="A408" s="104" t="s">
        <v>15</v>
      </c>
      <c r="B408" s="105"/>
      <c r="C408" s="16">
        <v>706155.78</v>
      </c>
      <c r="D408" s="22"/>
      <c r="E408" s="22"/>
      <c r="F408" s="22"/>
      <c r="H408" s="20"/>
      <c r="I408" s="21"/>
      <c r="J408" s="17"/>
      <c r="K408" s="17"/>
      <c r="L408" s="17"/>
      <c r="M408" s="17"/>
      <c r="N408" s="17"/>
      <c r="O408" s="17"/>
      <c r="P408" s="5"/>
      <c r="Q408" s="5"/>
    </row>
    <row r="409" spans="1:17" ht="15" customHeight="1" x14ac:dyDescent="0.25">
      <c r="A409" s="92" t="s">
        <v>65</v>
      </c>
      <c r="B409" s="93"/>
      <c r="C409" s="16">
        <v>336873.8</v>
      </c>
      <c r="D409" s="22"/>
      <c r="E409" s="22"/>
      <c r="F409" s="22"/>
      <c r="H409" s="20"/>
      <c r="I409" s="21"/>
      <c r="J409" s="17"/>
      <c r="K409" s="17"/>
      <c r="L409" s="17"/>
      <c r="M409" s="17"/>
      <c r="N409" s="17"/>
      <c r="O409" s="17"/>
      <c r="P409" s="5"/>
      <c r="Q409" s="5"/>
    </row>
    <row r="410" spans="1:17" x14ac:dyDescent="0.25">
      <c r="A410" s="53" t="s">
        <v>16</v>
      </c>
      <c r="B410" s="54"/>
      <c r="C410" s="16">
        <v>301605</v>
      </c>
      <c r="D410" s="2"/>
      <c r="E410" s="2"/>
      <c r="F410" s="2"/>
      <c r="G410" s="2"/>
      <c r="H410" s="6"/>
    </row>
    <row r="411" spans="1:17" ht="16.5" thickBot="1" x14ac:dyDescent="0.3">
      <c r="A411" s="110" t="s">
        <v>17</v>
      </c>
      <c r="B411" s="111"/>
      <c r="C411" s="24">
        <v>653992.25</v>
      </c>
      <c r="D411" s="2"/>
      <c r="E411" s="2"/>
      <c r="F411" s="2"/>
      <c r="G411" s="2"/>
      <c r="H411" s="6"/>
    </row>
    <row r="412" spans="1:17" ht="15" customHeight="1" thickBot="1" x14ac:dyDescent="0.3">
      <c r="A412" s="114" t="s">
        <v>7</v>
      </c>
      <c r="B412" s="115"/>
      <c r="C412" s="25">
        <f>SUM(C398:C411)-C409</f>
        <v>3504346.0300000003</v>
      </c>
      <c r="D412" s="22"/>
      <c r="E412" s="22"/>
      <c r="F412" s="22"/>
      <c r="H412" s="20"/>
      <c r="I412" s="21"/>
      <c r="J412" s="17"/>
      <c r="K412" s="17"/>
      <c r="L412" s="17"/>
      <c r="M412" s="17"/>
      <c r="N412" s="17"/>
      <c r="O412" s="17"/>
      <c r="P412" s="5"/>
      <c r="Q412" s="5"/>
    </row>
    <row r="413" spans="1:17" ht="5.25" customHeight="1" thickBot="1" x14ac:dyDescent="0.3">
      <c r="A413" s="63"/>
      <c r="B413" s="64"/>
      <c r="C413" s="25"/>
      <c r="D413" s="22"/>
      <c r="E413" s="22"/>
      <c r="F413" s="22"/>
      <c r="H413" s="20"/>
      <c r="I413" s="21"/>
      <c r="J413" s="17"/>
      <c r="K413" s="17"/>
      <c r="L413" s="17"/>
      <c r="M413" s="17"/>
      <c r="N413" s="17"/>
      <c r="O413" s="17"/>
      <c r="P413" s="5"/>
      <c r="Q413" s="5"/>
    </row>
    <row r="417" spans="1:17" ht="18.75" customHeight="1" x14ac:dyDescent="0.25">
      <c r="A417" s="54" t="s">
        <v>49</v>
      </c>
      <c r="B417" s="65"/>
      <c r="C417" s="52" t="s">
        <v>50</v>
      </c>
      <c r="D417" s="22"/>
      <c r="E417" s="66"/>
      <c r="F417" s="66"/>
      <c r="G417" s="42"/>
      <c r="H417" s="20"/>
      <c r="I417" s="21"/>
      <c r="J417" s="17"/>
      <c r="K417" s="17"/>
      <c r="L417" s="17"/>
      <c r="M417" s="17"/>
      <c r="N417" s="17"/>
      <c r="O417" s="17"/>
      <c r="P417" s="5"/>
      <c r="Q417" s="5"/>
    </row>
    <row r="429" spans="1:17" x14ac:dyDescent="0.25">
      <c r="C429" s="2" t="s">
        <v>47</v>
      </c>
    </row>
    <row r="430" spans="1:17" x14ac:dyDescent="0.25">
      <c r="C430" s="51" t="s">
        <v>48</v>
      </c>
    </row>
    <row r="431" spans="1:17" x14ac:dyDescent="0.25">
      <c r="C431" s="50"/>
    </row>
    <row r="432" spans="1:17" ht="16.5" thickBot="1" x14ac:dyDescent="0.3"/>
    <row r="433" spans="1:17" ht="16.5" thickBot="1" x14ac:dyDescent="0.3">
      <c r="A433" s="7" t="s">
        <v>27</v>
      </c>
      <c r="B433" s="8"/>
      <c r="C433" s="9" t="s">
        <v>62</v>
      </c>
      <c r="D433" s="2"/>
      <c r="E433" s="2"/>
      <c r="F433" s="2"/>
      <c r="G433" s="2"/>
      <c r="H433" s="6"/>
    </row>
    <row r="434" spans="1:17" x14ac:dyDescent="0.25">
      <c r="A434" s="10" t="s">
        <v>1</v>
      </c>
      <c r="B434" s="11"/>
      <c r="C434" s="12"/>
      <c r="D434" s="2"/>
      <c r="E434" s="2"/>
      <c r="F434" s="2"/>
      <c r="G434" s="2"/>
      <c r="H434" s="6"/>
    </row>
    <row r="435" spans="1:17" x14ac:dyDescent="0.25">
      <c r="A435" s="13" t="s">
        <v>63</v>
      </c>
      <c r="B435" s="14"/>
      <c r="C435" s="15">
        <f>(837914.84-144677.06-1983.26)/1.2+144677.06+1983.26</f>
        <v>722705.75333333341</v>
      </c>
      <c r="D435" s="2"/>
      <c r="E435" s="2"/>
      <c r="F435" s="2"/>
      <c r="G435" s="2"/>
      <c r="H435" s="6"/>
    </row>
    <row r="436" spans="1:17" x14ac:dyDescent="0.25">
      <c r="A436" s="13" t="s">
        <v>2</v>
      </c>
      <c r="B436" s="14"/>
      <c r="C436" s="15">
        <f>135304.52/1.2+144677.06</f>
        <v>257430.82666666666</v>
      </c>
      <c r="D436" s="2"/>
      <c r="E436" s="2"/>
      <c r="F436" s="2"/>
      <c r="G436" s="2"/>
      <c r="H436" s="6"/>
    </row>
    <row r="437" spans="1:17" x14ac:dyDescent="0.25">
      <c r="A437" s="100" t="s">
        <v>3</v>
      </c>
      <c r="B437" s="101"/>
      <c r="C437" s="16">
        <f>1170356.76/1.2+1295368.2</f>
        <v>2270665.5</v>
      </c>
      <c r="D437" s="2"/>
      <c r="E437" s="2"/>
      <c r="F437" s="2"/>
      <c r="G437" s="2"/>
      <c r="H437" s="23"/>
    </row>
    <row r="438" spans="1:17" x14ac:dyDescent="0.25">
      <c r="A438" s="100" t="s">
        <v>60</v>
      </c>
      <c r="B438" s="101"/>
      <c r="C438" s="16">
        <f>10364.58/1.2+11471.7</f>
        <v>20108.849999999999</v>
      </c>
      <c r="D438" s="2"/>
      <c r="E438" s="2"/>
      <c r="F438" s="2"/>
      <c r="G438" s="2"/>
      <c r="H438" s="6"/>
    </row>
    <row r="439" spans="1:17" x14ac:dyDescent="0.25">
      <c r="A439" s="100" t="s">
        <v>6</v>
      </c>
      <c r="B439" s="101"/>
      <c r="C439" s="16">
        <f>51360/1.2</f>
        <v>42800</v>
      </c>
      <c r="D439" s="2"/>
      <c r="E439" s="2"/>
      <c r="F439" s="2"/>
      <c r="G439" s="2"/>
      <c r="H439" s="6"/>
    </row>
    <row r="440" spans="1:17" x14ac:dyDescent="0.25">
      <c r="A440" s="53" t="s">
        <v>4</v>
      </c>
      <c r="B440" s="54"/>
      <c r="C440" s="16">
        <v>17900</v>
      </c>
      <c r="D440" s="2"/>
      <c r="E440" s="2"/>
      <c r="F440" s="2"/>
      <c r="G440" s="2"/>
      <c r="H440" s="6"/>
    </row>
    <row r="441" spans="1:17" x14ac:dyDescent="0.25">
      <c r="A441" s="13" t="s">
        <v>7</v>
      </c>
      <c r="B441" s="18"/>
      <c r="C441" s="19">
        <f>SUM(C437:C440)</f>
        <v>2351474.35</v>
      </c>
      <c r="D441" s="2"/>
      <c r="E441" s="2"/>
      <c r="F441" s="2"/>
      <c r="G441" s="2">
        <f>C441-C455</f>
        <v>-180043.4299999997</v>
      </c>
      <c r="H441" s="6"/>
    </row>
    <row r="442" spans="1:17" x14ac:dyDescent="0.25">
      <c r="A442" s="13"/>
      <c r="B442" s="18"/>
      <c r="C442" s="19"/>
      <c r="D442" s="2"/>
      <c r="E442" s="2"/>
      <c r="F442" s="2"/>
      <c r="G442" s="2"/>
      <c r="H442" s="6"/>
    </row>
    <row r="443" spans="1:17" x14ac:dyDescent="0.25">
      <c r="A443" s="108" t="s">
        <v>8</v>
      </c>
      <c r="B443" s="109"/>
      <c r="C443" s="12"/>
      <c r="D443" s="2"/>
      <c r="E443" s="2"/>
      <c r="F443" s="2"/>
      <c r="G443" s="2"/>
      <c r="H443" s="6"/>
    </row>
    <row r="444" spans="1:17" ht="15" customHeight="1" x14ac:dyDescent="0.25">
      <c r="A444" s="102" t="s">
        <v>9</v>
      </c>
      <c r="B444" s="103"/>
      <c r="C444" s="16">
        <f>329374.48+5104.3</f>
        <v>334478.77999999997</v>
      </c>
      <c r="D444" s="22"/>
      <c r="E444" s="22"/>
      <c r="F444" s="22"/>
      <c r="H444" s="20"/>
      <c r="I444" s="21"/>
      <c r="J444" s="17"/>
      <c r="K444" s="17"/>
      <c r="L444" s="17"/>
      <c r="M444" s="17"/>
      <c r="N444" s="17"/>
      <c r="O444" s="17"/>
      <c r="P444" s="5"/>
      <c r="Q444" s="5"/>
    </row>
    <row r="445" spans="1:17" ht="15" customHeight="1" x14ac:dyDescent="0.25">
      <c r="A445" s="90" t="s">
        <v>10</v>
      </c>
      <c r="B445" s="91"/>
      <c r="C445" s="16">
        <v>8849.2800000000007</v>
      </c>
      <c r="D445" s="22"/>
      <c r="E445" s="22"/>
      <c r="F445" s="22"/>
      <c r="H445" s="20"/>
      <c r="I445" s="21"/>
      <c r="J445" s="17"/>
      <c r="K445" s="17"/>
      <c r="L445" s="17"/>
      <c r="M445" s="17"/>
      <c r="N445" s="17"/>
      <c r="O445" s="17"/>
      <c r="P445" s="5"/>
      <c r="Q445" s="5"/>
    </row>
    <row r="446" spans="1:17" ht="15" customHeight="1" x14ac:dyDescent="0.25">
      <c r="A446" s="53" t="s">
        <v>11</v>
      </c>
      <c r="B446" s="54"/>
      <c r="C446" s="16">
        <v>4831.5</v>
      </c>
      <c r="D446" s="22"/>
      <c r="E446" s="22"/>
      <c r="F446" s="22"/>
      <c r="H446" s="20"/>
      <c r="I446" s="21"/>
      <c r="J446" s="17"/>
      <c r="K446" s="17"/>
      <c r="L446" s="17"/>
      <c r="M446" s="17"/>
      <c r="N446" s="17"/>
      <c r="O446" s="17"/>
      <c r="P446" s="5"/>
      <c r="Q446" s="5"/>
    </row>
    <row r="447" spans="1:17" ht="15" customHeight="1" x14ac:dyDescent="0.25">
      <c r="A447" s="53" t="s">
        <v>13</v>
      </c>
      <c r="B447" s="54"/>
      <c r="C447" s="16">
        <v>44486.28</v>
      </c>
      <c r="D447" s="22"/>
      <c r="E447" s="22"/>
      <c r="F447" s="22"/>
      <c r="H447" s="20"/>
      <c r="I447" s="21"/>
      <c r="J447" s="17"/>
      <c r="K447" s="17"/>
      <c r="L447" s="17"/>
      <c r="M447" s="17"/>
      <c r="N447" s="17"/>
      <c r="O447" s="17"/>
      <c r="P447" s="5"/>
      <c r="Q447" s="5"/>
    </row>
    <row r="448" spans="1:17" ht="15" customHeight="1" x14ac:dyDescent="0.25">
      <c r="A448" s="100" t="s">
        <v>14</v>
      </c>
      <c r="B448" s="101"/>
      <c r="C448" s="16">
        <v>426361.56</v>
      </c>
      <c r="D448" s="22"/>
      <c r="E448" s="22"/>
      <c r="F448" s="22"/>
      <c r="H448" s="20"/>
      <c r="I448" s="21"/>
      <c r="J448" s="17"/>
      <c r="K448" s="17"/>
      <c r="L448" s="17"/>
      <c r="M448" s="17"/>
      <c r="N448" s="17"/>
      <c r="O448" s="17"/>
      <c r="P448" s="5"/>
      <c r="Q448" s="5"/>
    </row>
    <row r="449" spans="1:17" ht="15" customHeight="1" x14ac:dyDescent="0.25">
      <c r="A449" s="100" t="s">
        <v>12</v>
      </c>
      <c r="B449" s="101"/>
      <c r="C449" s="16">
        <v>191533.84</v>
      </c>
      <c r="D449" s="22"/>
      <c r="E449" s="22"/>
      <c r="F449" s="22"/>
      <c r="H449" s="20"/>
      <c r="I449" s="21"/>
      <c r="J449" s="17"/>
      <c r="K449" s="17"/>
      <c r="L449" s="17"/>
      <c r="M449" s="17"/>
      <c r="N449" s="17"/>
      <c r="O449" s="17"/>
      <c r="P449" s="5"/>
      <c r="Q449" s="5"/>
    </row>
    <row r="450" spans="1:17" ht="30" customHeight="1" x14ac:dyDescent="0.25">
      <c r="A450" s="112" t="s">
        <v>55</v>
      </c>
      <c r="B450" s="113"/>
      <c r="C450" s="82">
        <v>22440.12</v>
      </c>
      <c r="D450" s="22"/>
      <c r="E450" s="22"/>
      <c r="F450" s="22"/>
      <c r="H450" s="20"/>
      <c r="I450" s="21"/>
      <c r="J450" s="17"/>
      <c r="K450" s="17"/>
      <c r="L450" s="17"/>
      <c r="M450" s="17"/>
      <c r="N450" s="17"/>
      <c r="O450" s="17"/>
      <c r="P450" s="5"/>
      <c r="Q450" s="5"/>
    </row>
    <row r="451" spans="1:17" ht="15" customHeight="1" x14ac:dyDescent="0.25">
      <c r="A451" s="104" t="s">
        <v>15</v>
      </c>
      <c r="B451" s="105"/>
      <c r="C451" s="16">
        <v>612846.42000000004</v>
      </c>
      <c r="D451" s="22"/>
      <c r="E451" s="22"/>
      <c r="F451" s="22"/>
      <c r="H451" s="20"/>
      <c r="I451" s="21"/>
      <c r="J451" s="17"/>
      <c r="K451" s="17"/>
      <c r="L451" s="17"/>
      <c r="M451" s="17"/>
      <c r="N451" s="17"/>
      <c r="O451" s="17"/>
      <c r="P451" s="5"/>
      <c r="Q451" s="5"/>
    </row>
    <row r="452" spans="1:17" ht="15" customHeight="1" x14ac:dyDescent="0.25">
      <c r="A452" s="92" t="s">
        <v>58</v>
      </c>
      <c r="B452" s="93"/>
      <c r="C452" s="16">
        <v>4428.91</v>
      </c>
      <c r="D452" s="22"/>
      <c r="E452" s="22"/>
      <c r="F452" s="22"/>
      <c r="H452" s="20"/>
      <c r="I452" s="21"/>
      <c r="J452" s="17"/>
      <c r="K452" s="17"/>
      <c r="L452" s="17"/>
      <c r="M452" s="17"/>
      <c r="N452" s="17"/>
      <c r="O452" s="17"/>
      <c r="P452" s="5"/>
      <c r="Q452" s="5"/>
    </row>
    <row r="453" spans="1:17" ht="15" customHeight="1" x14ac:dyDescent="0.25">
      <c r="A453" s="53" t="s">
        <v>16</v>
      </c>
      <c r="B453" s="54"/>
      <c r="C453" s="16">
        <v>267733.26</v>
      </c>
      <c r="D453" s="22"/>
      <c r="E453" s="22"/>
      <c r="F453" s="22"/>
      <c r="H453" s="20"/>
      <c r="I453" s="21"/>
      <c r="J453" s="17"/>
      <c r="K453" s="17"/>
      <c r="L453" s="17"/>
      <c r="M453" s="17"/>
      <c r="N453" s="17"/>
      <c r="O453" s="17"/>
      <c r="P453" s="5"/>
      <c r="Q453" s="5"/>
    </row>
    <row r="454" spans="1:17" ht="15" customHeight="1" thickBot="1" x14ac:dyDescent="0.3">
      <c r="A454" s="100" t="s">
        <v>17</v>
      </c>
      <c r="B454" s="101"/>
      <c r="C454" s="16">
        <v>613527.82999999996</v>
      </c>
      <c r="D454" s="22"/>
      <c r="E454" s="22"/>
      <c r="F454" s="22"/>
      <c r="H454" s="20"/>
      <c r="I454" s="21"/>
      <c r="J454" s="17"/>
      <c r="K454" s="17"/>
      <c r="L454" s="17"/>
      <c r="M454" s="17"/>
      <c r="N454" s="17"/>
      <c r="O454" s="17"/>
      <c r="P454" s="5"/>
      <c r="Q454" s="5"/>
    </row>
    <row r="455" spans="1:17" ht="15" customHeight="1" thickBot="1" x14ac:dyDescent="0.3">
      <c r="A455" s="114" t="s">
        <v>7</v>
      </c>
      <c r="B455" s="115"/>
      <c r="C455" s="25">
        <f>SUM(C444:C454)</f>
        <v>2531517.7799999998</v>
      </c>
      <c r="D455" s="22"/>
      <c r="E455" s="22"/>
      <c r="F455" s="22"/>
      <c r="H455" s="20"/>
      <c r="I455" s="21"/>
      <c r="J455" s="17"/>
      <c r="K455" s="17"/>
      <c r="L455" s="17"/>
      <c r="M455" s="17"/>
      <c r="N455" s="17"/>
      <c r="O455" s="17"/>
      <c r="P455" s="5"/>
      <c r="Q455" s="5"/>
    </row>
    <row r="456" spans="1:17" ht="6" customHeight="1" thickBot="1" x14ac:dyDescent="0.3">
      <c r="A456" s="55"/>
      <c r="B456" s="56"/>
      <c r="C456" s="28"/>
      <c r="D456" s="22"/>
      <c r="E456" s="22"/>
      <c r="F456" s="22"/>
      <c r="H456" s="20"/>
      <c r="I456" s="21"/>
      <c r="J456" s="17"/>
      <c r="K456" s="17"/>
      <c r="L456" s="17"/>
      <c r="M456" s="17"/>
      <c r="N456" s="17"/>
      <c r="O456" s="17"/>
      <c r="P456" s="5"/>
      <c r="Q456" s="5"/>
    </row>
    <row r="460" spans="1:17" ht="18.75" customHeight="1" x14ac:dyDescent="0.25">
      <c r="A460" s="54" t="s">
        <v>49</v>
      </c>
      <c r="B460" s="65"/>
      <c r="C460" s="52" t="s">
        <v>50</v>
      </c>
      <c r="D460" s="22"/>
      <c r="E460" s="66"/>
      <c r="F460" s="66"/>
      <c r="G460" s="42"/>
      <c r="H460" s="20"/>
      <c r="I460" s="21"/>
      <c r="J460" s="17"/>
      <c r="K460" s="17"/>
      <c r="L460" s="17"/>
      <c r="M460" s="17"/>
      <c r="N460" s="17"/>
      <c r="O460" s="17"/>
      <c r="P460" s="5"/>
      <c r="Q460" s="5"/>
    </row>
    <row r="477" spans="3:3" x14ac:dyDescent="0.25">
      <c r="C477" s="2" t="s">
        <v>47</v>
      </c>
    </row>
    <row r="478" spans="3:3" x14ac:dyDescent="0.25">
      <c r="C478" s="51" t="s">
        <v>48</v>
      </c>
    </row>
    <row r="479" spans="3:3" x14ac:dyDescent="0.25">
      <c r="C479" s="50"/>
    </row>
    <row r="480" spans="3:3" ht="16.5" thickBot="1" x14ac:dyDescent="0.3"/>
    <row r="481" spans="1:17" ht="16.5" thickBot="1" x14ac:dyDescent="0.3">
      <c r="A481" s="39" t="s">
        <v>28</v>
      </c>
      <c r="B481" s="40"/>
      <c r="C481" s="9" t="s">
        <v>62</v>
      </c>
      <c r="D481" s="2"/>
      <c r="E481" s="2"/>
      <c r="F481" s="2"/>
      <c r="G481" s="2"/>
      <c r="H481" s="6"/>
    </row>
    <row r="482" spans="1:17" x14ac:dyDescent="0.25">
      <c r="A482" s="10" t="s">
        <v>1</v>
      </c>
      <c r="B482" s="11"/>
      <c r="C482" s="37"/>
      <c r="D482" s="2"/>
      <c r="E482" s="2"/>
      <c r="F482" s="2"/>
      <c r="G482" s="2"/>
      <c r="H482" s="6"/>
    </row>
    <row r="483" spans="1:17" x14ac:dyDescent="0.25">
      <c r="A483" s="13" t="s">
        <v>63</v>
      </c>
      <c r="B483" s="14"/>
      <c r="C483" s="15">
        <f>(1280549.99-18608.59-217761.17)/1.2+18608.59+217761.17</f>
        <v>1106519.9516666664</v>
      </c>
      <c r="D483" s="2"/>
      <c r="E483" s="2"/>
      <c r="F483" s="2"/>
      <c r="G483" s="2"/>
      <c r="H483" s="6"/>
    </row>
    <row r="484" spans="1:17" x14ac:dyDescent="0.25">
      <c r="A484" s="13" t="s">
        <v>2</v>
      </c>
      <c r="B484" s="14"/>
      <c r="C484" s="15">
        <f>4981.22/1.2+18608.59+26614.09/1.2+217761.17+199835.84/1.2</f>
        <v>429229.05166666664</v>
      </c>
      <c r="D484" s="2"/>
      <c r="E484" s="2"/>
      <c r="F484" s="2"/>
      <c r="G484" s="2"/>
      <c r="H484" s="6"/>
    </row>
    <row r="485" spans="1:17" x14ac:dyDescent="0.25">
      <c r="A485" s="100" t="s">
        <v>3</v>
      </c>
      <c r="B485" s="101"/>
      <c r="C485" s="16">
        <f>216681.6+303819.84/1.2+1900012.62+1677275.88/1.2</f>
        <v>3767607.32</v>
      </c>
      <c r="D485" s="2"/>
      <c r="E485" s="2"/>
      <c r="F485" s="2"/>
      <c r="G485" s="2"/>
      <c r="H485" s="6"/>
    </row>
    <row r="486" spans="1:17" x14ac:dyDescent="0.25">
      <c r="A486" s="53" t="s">
        <v>6</v>
      </c>
      <c r="B486" s="54"/>
      <c r="C486" s="16">
        <f>85440/1.2</f>
        <v>71200</v>
      </c>
      <c r="D486" s="2"/>
      <c r="E486" s="2"/>
      <c r="F486" s="2"/>
      <c r="G486" s="2"/>
      <c r="H486" s="6"/>
    </row>
    <row r="487" spans="1:17" x14ac:dyDescent="0.25">
      <c r="A487" s="53" t="s">
        <v>4</v>
      </c>
      <c r="B487" s="54"/>
      <c r="C487" s="16">
        <v>24650</v>
      </c>
      <c r="D487" s="2"/>
      <c r="E487" s="2"/>
      <c r="F487" s="2"/>
      <c r="G487" s="2"/>
      <c r="H487" s="6"/>
    </row>
    <row r="488" spans="1:17" x14ac:dyDescent="0.25">
      <c r="A488" s="13" t="s">
        <v>7</v>
      </c>
      <c r="B488" s="18"/>
      <c r="C488" s="19">
        <f>SUM(C485:C487)</f>
        <v>3863457.32</v>
      </c>
      <c r="D488" s="2"/>
      <c r="E488" s="2"/>
      <c r="F488" s="2"/>
      <c r="G488" s="2">
        <f>C488-C505</f>
        <v>-323246.43000000017</v>
      </c>
      <c r="H488" s="6"/>
    </row>
    <row r="489" spans="1:17" x14ac:dyDescent="0.25">
      <c r="A489" s="13"/>
      <c r="B489" s="18"/>
      <c r="C489" s="19"/>
      <c r="D489" s="2"/>
      <c r="E489" s="2"/>
      <c r="F489" s="2"/>
      <c r="G489" s="2"/>
      <c r="H489" s="6"/>
    </row>
    <row r="490" spans="1:17" x14ac:dyDescent="0.25">
      <c r="A490" s="108" t="s">
        <v>8</v>
      </c>
      <c r="B490" s="109"/>
      <c r="C490" s="12"/>
      <c r="D490" s="2"/>
      <c r="E490" s="2"/>
      <c r="F490" s="2"/>
      <c r="G490" s="2"/>
      <c r="H490" s="6"/>
    </row>
    <row r="491" spans="1:17" ht="15" customHeight="1" x14ac:dyDescent="0.25">
      <c r="A491" s="102" t="s">
        <v>9</v>
      </c>
      <c r="B491" s="103"/>
      <c r="C491" s="16">
        <f>5903.09+553250.99</f>
        <v>559154.07999999996</v>
      </c>
      <c r="D491" s="22"/>
      <c r="E491" s="22"/>
      <c r="F491" s="22"/>
      <c r="H491" s="20"/>
      <c r="I491" s="21"/>
      <c r="J491" s="17"/>
      <c r="K491" s="17"/>
      <c r="L491" s="17"/>
      <c r="M491" s="17"/>
      <c r="N491" s="17"/>
      <c r="O491" s="17"/>
      <c r="P491" s="5"/>
      <c r="Q491" s="5"/>
    </row>
    <row r="492" spans="1:17" ht="15" customHeight="1" x14ac:dyDescent="0.25">
      <c r="A492" s="90" t="s">
        <v>10</v>
      </c>
      <c r="B492" s="91"/>
      <c r="C492" s="16">
        <v>14440.72</v>
      </c>
      <c r="D492" s="22"/>
      <c r="E492" s="22"/>
      <c r="F492" s="22"/>
      <c r="H492" s="20"/>
      <c r="I492" s="21"/>
      <c r="J492" s="17"/>
      <c r="K492" s="17"/>
      <c r="L492" s="17"/>
      <c r="M492" s="17"/>
      <c r="N492" s="17"/>
      <c r="O492" s="17"/>
      <c r="P492" s="5"/>
      <c r="Q492" s="5"/>
    </row>
    <row r="493" spans="1:17" ht="15" customHeight="1" x14ac:dyDescent="0.25">
      <c r="A493" s="53" t="s">
        <v>11</v>
      </c>
      <c r="B493" s="54"/>
      <c r="C493" s="16">
        <v>4831.5</v>
      </c>
      <c r="D493" s="22"/>
      <c r="E493" s="22"/>
      <c r="F493" s="22"/>
      <c r="H493" s="23"/>
      <c r="I493" s="21"/>
      <c r="J493" s="17"/>
      <c r="K493" s="17"/>
      <c r="L493" s="17"/>
      <c r="M493" s="17"/>
      <c r="N493" s="17"/>
      <c r="O493" s="17"/>
      <c r="P493" s="5"/>
      <c r="Q493" s="5"/>
    </row>
    <row r="494" spans="1:17" ht="15" customHeight="1" x14ac:dyDescent="0.25">
      <c r="A494" s="69" t="s">
        <v>57</v>
      </c>
      <c r="B494" s="70"/>
      <c r="C494" s="16"/>
      <c r="D494" s="22"/>
      <c r="E494" s="22"/>
      <c r="F494" s="22"/>
      <c r="H494" s="23"/>
      <c r="I494" s="21"/>
      <c r="J494" s="17"/>
      <c r="K494" s="17"/>
      <c r="L494" s="17"/>
      <c r="M494" s="17"/>
      <c r="N494" s="17"/>
      <c r="O494" s="17"/>
      <c r="P494" s="5"/>
      <c r="Q494" s="5"/>
    </row>
    <row r="495" spans="1:17" ht="15" customHeight="1" x14ac:dyDescent="0.25">
      <c r="A495" s="53" t="s">
        <v>13</v>
      </c>
      <c r="B495" s="54"/>
      <c r="C495" s="16">
        <v>75246</v>
      </c>
      <c r="D495" s="22"/>
      <c r="E495" s="22"/>
      <c r="F495" s="22"/>
      <c r="H495" s="20"/>
      <c r="I495" s="21"/>
      <c r="J495" s="17"/>
      <c r="K495" s="17"/>
      <c r="L495" s="17"/>
      <c r="M495" s="17"/>
      <c r="N495" s="17"/>
      <c r="O495" s="17"/>
      <c r="P495" s="5"/>
      <c r="Q495" s="5"/>
    </row>
    <row r="496" spans="1:17" ht="15" customHeight="1" x14ac:dyDescent="0.25">
      <c r="A496" s="100" t="s">
        <v>14</v>
      </c>
      <c r="B496" s="101"/>
      <c r="C496" s="16">
        <v>619855.19999999995</v>
      </c>
      <c r="D496" s="22"/>
      <c r="E496" s="22"/>
      <c r="F496" s="22"/>
      <c r="H496" s="20"/>
      <c r="I496" s="21"/>
      <c r="J496" s="17"/>
      <c r="K496" s="17"/>
      <c r="L496" s="17"/>
      <c r="M496" s="17"/>
      <c r="N496" s="17"/>
      <c r="O496" s="17"/>
      <c r="P496" s="5"/>
      <c r="Q496" s="5"/>
    </row>
    <row r="497" spans="1:17" ht="15" customHeight="1" x14ac:dyDescent="0.25">
      <c r="A497" s="100" t="s">
        <v>12</v>
      </c>
      <c r="B497" s="101"/>
      <c r="C497" s="16">
        <v>320696.59999999998</v>
      </c>
      <c r="D497" s="22"/>
      <c r="E497" s="22"/>
      <c r="F497" s="22"/>
      <c r="H497" s="20"/>
      <c r="I497" s="21"/>
      <c r="J497" s="17"/>
      <c r="K497" s="17"/>
      <c r="L497" s="17"/>
      <c r="M497" s="17"/>
      <c r="N497" s="17"/>
      <c r="O497" s="17"/>
      <c r="P497" s="5"/>
      <c r="Q497" s="5"/>
    </row>
    <row r="498" spans="1:17" ht="29.25" customHeight="1" x14ac:dyDescent="0.25">
      <c r="A498" s="112" t="s">
        <v>55</v>
      </c>
      <c r="B498" s="113"/>
      <c r="C498" s="82">
        <v>4999.08</v>
      </c>
      <c r="D498" s="22"/>
      <c r="E498" s="22"/>
      <c r="F498" s="22"/>
      <c r="H498" s="20"/>
      <c r="I498" s="21"/>
      <c r="J498" s="17"/>
      <c r="K498" s="17"/>
      <c r="L498" s="17"/>
      <c r="M498" s="17"/>
      <c r="N498" s="17"/>
      <c r="O498" s="17"/>
      <c r="P498" s="5"/>
      <c r="Q498" s="5"/>
    </row>
    <row r="499" spans="1:17" ht="15" customHeight="1" x14ac:dyDescent="0.25">
      <c r="A499" s="100" t="s">
        <v>19</v>
      </c>
      <c r="B499" s="101"/>
      <c r="C499" s="16">
        <v>18924.84</v>
      </c>
      <c r="D499" s="22"/>
      <c r="E499" s="22"/>
      <c r="F499" s="22"/>
      <c r="H499" s="20"/>
      <c r="I499" s="21"/>
      <c r="J499" s="17"/>
      <c r="K499" s="17"/>
      <c r="L499" s="17"/>
      <c r="M499" s="17"/>
      <c r="N499" s="17"/>
      <c r="O499" s="17"/>
      <c r="P499" s="5"/>
      <c r="Q499" s="5"/>
    </row>
    <row r="500" spans="1:17" ht="15" customHeight="1" x14ac:dyDescent="0.25">
      <c r="A500" s="104" t="s">
        <v>15</v>
      </c>
      <c r="B500" s="105"/>
      <c r="C500" s="16">
        <v>1052491.56</v>
      </c>
      <c r="D500" s="22"/>
      <c r="E500" s="22"/>
      <c r="F500" s="22"/>
      <c r="H500" s="20"/>
      <c r="I500" s="21"/>
      <c r="J500" s="17"/>
      <c r="K500" s="17"/>
      <c r="L500" s="17"/>
      <c r="M500" s="17"/>
      <c r="N500" s="17"/>
      <c r="O500" s="17"/>
      <c r="P500" s="5"/>
      <c r="Q500" s="5"/>
    </row>
    <row r="501" spans="1:17" ht="15" customHeight="1" x14ac:dyDescent="0.25">
      <c r="A501" s="71" t="s">
        <v>59</v>
      </c>
      <c r="B501" s="72"/>
      <c r="C501" s="16">
        <v>17608</v>
      </c>
      <c r="D501" s="22"/>
      <c r="E501" s="22"/>
      <c r="F501" s="22"/>
      <c r="H501" s="20"/>
      <c r="I501" s="21"/>
      <c r="J501" s="17"/>
      <c r="K501" s="17"/>
      <c r="L501" s="17"/>
      <c r="M501" s="17"/>
      <c r="N501" s="17"/>
      <c r="O501" s="17"/>
      <c r="P501" s="5"/>
      <c r="Q501" s="5"/>
    </row>
    <row r="502" spans="1:17" ht="15" customHeight="1" x14ac:dyDescent="0.25">
      <c r="A502" s="92" t="s">
        <v>58</v>
      </c>
      <c r="B502" s="93"/>
      <c r="C502" s="16">
        <v>28425.85</v>
      </c>
      <c r="D502" s="22"/>
      <c r="E502" s="22"/>
      <c r="F502" s="22"/>
      <c r="H502" s="20"/>
      <c r="I502" s="21"/>
      <c r="J502" s="17"/>
      <c r="K502" s="17"/>
      <c r="L502" s="17"/>
      <c r="M502" s="17"/>
      <c r="N502" s="17"/>
      <c r="O502" s="17"/>
      <c r="P502" s="5"/>
      <c r="Q502" s="5"/>
    </row>
    <row r="503" spans="1:17" ht="15" customHeight="1" x14ac:dyDescent="0.25">
      <c r="A503" s="53" t="s">
        <v>16</v>
      </c>
      <c r="B503" s="54"/>
      <c r="C503" s="16">
        <v>439486.38</v>
      </c>
      <c r="D503" s="22"/>
      <c r="E503" s="22"/>
      <c r="F503" s="22"/>
      <c r="H503" s="20"/>
      <c r="I503" s="21"/>
      <c r="J503" s="17"/>
      <c r="K503" s="17"/>
      <c r="L503" s="17"/>
      <c r="M503" s="17"/>
      <c r="N503" s="17"/>
      <c r="O503" s="17"/>
      <c r="P503" s="5"/>
      <c r="Q503" s="5"/>
    </row>
    <row r="504" spans="1:17" ht="15" customHeight="1" thickBot="1" x14ac:dyDescent="0.3">
      <c r="A504" s="110" t="s">
        <v>17</v>
      </c>
      <c r="B504" s="111"/>
      <c r="C504" s="24">
        <v>1030543.94</v>
      </c>
      <c r="D504" s="22"/>
      <c r="E504" s="22"/>
      <c r="F504" s="22"/>
      <c r="H504" s="20"/>
      <c r="I504" s="21"/>
      <c r="J504" s="17"/>
      <c r="K504" s="17"/>
      <c r="L504" s="17"/>
      <c r="M504" s="17"/>
      <c r="N504" s="17"/>
      <c r="O504" s="17"/>
      <c r="P504" s="5"/>
      <c r="Q504" s="5"/>
    </row>
    <row r="505" spans="1:17" ht="16.5" thickBot="1" x14ac:dyDescent="0.3">
      <c r="A505" s="98" t="s">
        <v>20</v>
      </c>
      <c r="B505" s="99"/>
      <c r="C505" s="28">
        <f>SUM(C491:C504)</f>
        <v>4186703.75</v>
      </c>
      <c r="D505" s="2"/>
      <c r="E505" s="2"/>
      <c r="F505" s="2"/>
      <c r="G505" s="2"/>
      <c r="H505" s="6"/>
    </row>
    <row r="506" spans="1:17" ht="6.75" customHeight="1" thickBot="1" x14ac:dyDescent="0.3">
      <c r="A506" s="61"/>
      <c r="B506" s="62"/>
      <c r="C506" s="28"/>
      <c r="D506" s="2"/>
      <c r="E506" s="2"/>
      <c r="F506" s="2"/>
      <c r="G506" s="2"/>
      <c r="H506" s="6"/>
    </row>
    <row r="510" spans="1:17" ht="18.75" customHeight="1" x14ac:dyDescent="0.25">
      <c r="A510" s="54" t="s">
        <v>49</v>
      </c>
      <c r="B510" s="65"/>
      <c r="C510" s="52" t="s">
        <v>50</v>
      </c>
      <c r="D510" s="22"/>
      <c r="E510" s="66"/>
      <c r="F510" s="66"/>
      <c r="G510" s="42"/>
      <c r="H510" s="20"/>
      <c r="I510" s="21"/>
      <c r="J510" s="17"/>
      <c r="K510" s="17"/>
      <c r="L510" s="17"/>
      <c r="M510" s="17"/>
      <c r="N510" s="17"/>
      <c r="O510" s="17"/>
      <c r="P510" s="5"/>
      <c r="Q510" s="5"/>
    </row>
    <row r="525" spans="3:3" x14ac:dyDescent="0.25">
      <c r="C525" s="2" t="s">
        <v>47</v>
      </c>
    </row>
    <row r="526" spans="3:3" x14ac:dyDescent="0.25">
      <c r="C526" s="51" t="s">
        <v>48</v>
      </c>
    </row>
    <row r="527" spans="3:3" x14ac:dyDescent="0.25">
      <c r="C527" s="50"/>
    </row>
    <row r="528" spans="3:3" ht="16.5" thickBot="1" x14ac:dyDescent="0.3"/>
    <row r="529" spans="1:17" ht="16.5" thickBot="1" x14ac:dyDescent="0.3">
      <c r="A529" s="7" t="s">
        <v>29</v>
      </c>
      <c r="B529" s="8"/>
      <c r="C529" s="9" t="s">
        <v>62</v>
      </c>
      <c r="D529" s="2"/>
      <c r="E529" s="2"/>
      <c r="F529" s="2"/>
      <c r="G529" s="2"/>
      <c r="H529" s="6"/>
    </row>
    <row r="530" spans="1:17" x14ac:dyDescent="0.25">
      <c r="A530" s="10" t="s">
        <v>1</v>
      </c>
      <c r="B530" s="11"/>
      <c r="C530" s="12"/>
      <c r="D530" s="2"/>
      <c r="E530" s="2"/>
      <c r="F530" s="2"/>
      <c r="G530" s="2"/>
      <c r="H530" s="6"/>
    </row>
    <row r="531" spans="1:17" x14ac:dyDescent="0.25">
      <c r="A531" s="13" t="s">
        <v>63</v>
      </c>
      <c r="B531" s="14"/>
      <c r="C531" s="15">
        <f>(1326581.92-31946.64-207519.2-1676.66)/1.2+31946.64+207519.2+1676.66</f>
        <v>1145675.3500000001</v>
      </c>
      <c r="D531" s="2"/>
      <c r="E531" s="2"/>
      <c r="F531" s="2"/>
      <c r="G531" s="2"/>
      <c r="H531" s="6"/>
    </row>
    <row r="532" spans="1:17" x14ac:dyDescent="0.25">
      <c r="A532" s="13" t="s">
        <v>2</v>
      </c>
      <c r="B532" s="14"/>
      <c r="C532" s="15">
        <f>1045.96/1.2+31946.64+42987.49/1.2+207519.2+190666.53/1.2</f>
        <v>435049.15666666673</v>
      </c>
      <c r="D532" s="2"/>
      <c r="E532" s="2"/>
      <c r="F532" s="2"/>
      <c r="G532" s="2"/>
      <c r="H532" s="6"/>
    </row>
    <row r="533" spans="1:17" x14ac:dyDescent="0.25">
      <c r="A533" s="100" t="s">
        <v>3</v>
      </c>
      <c r="B533" s="101"/>
      <c r="C533" s="15">
        <f>215746.68+302508.6/1.2+1890761.7+1669109.34/1.2</f>
        <v>3749523.33</v>
      </c>
      <c r="D533" s="2"/>
      <c r="E533" s="2"/>
      <c r="F533" s="2"/>
      <c r="G533" s="2"/>
      <c r="H533" s="23"/>
    </row>
    <row r="534" spans="1:17" x14ac:dyDescent="0.25">
      <c r="A534" s="53" t="s">
        <v>61</v>
      </c>
      <c r="B534" s="54"/>
      <c r="C534" s="16">
        <f>19396.44+17122.62/1.2</f>
        <v>33665.29</v>
      </c>
      <c r="D534" s="2"/>
      <c r="E534" s="2"/>
      <c r="F534" s="2"/>
      <c r="G534" s="2"/>
      <c r="H534" s="23"/>
    </row>
    <row r="535" spans="1:17" x14ac:dyDescent="0.25">
      <c r="A535" s="53" t="s">
        <v>6</v>
      </c>
      <c r="B535" s="54"/>
      <c r="C535" s="16">
        <f>67080/1.2</f>
        <v>55900</v>
      </c>
      <c r="D535" s="2"/>
      <c r="E535" s="2"/>
      <c r="F535" s="2"/>
      <c r="G535" s="2"/>
      <c r="H535" s="6"/>
    </row>
    <row r="536" spans="1:17" x14ac:dyDescent="0.25">
      <c r="A536" s="53" t="s">
        <v>4</v>
      </c>
      <c r="B536" s="54"/>
      <c r="C536" s="16">
        <v>24650</v>
      </c>
      <c r="D536" s="2"/>
      <c r="E536" s="2"/>
      <c r="F536" s="2"/>
      <c r="G536" s="2"/>
      <c r="H536" s="6"/>
    </row>
    <row r="537" spans="1:17" x14ac:dyDescent="0.25">
      <c r="A537" s="13" t="s">
        <v>7</v>
      </c>
      <c r="B537" s="18"/>
      <c r="C537" s="19">
        <f>SUM(C533:C536)</f>
        <v>3863738.62</v>
      </c>
      <c r="D537" s="2"/>
      <c r="E537" s="2"/>
      <c r="F537" s="2"/>
      <c r="G537" s="2">
        <f>C537-C551</f>
        <v>-260187.52000000002</v>
      </c>
      <c r="H537" s="6"/>
    </row>
    <row r="538" spans="1:17" x14ac:dyDescent="0.25">
      <c r="A538" s="13"/>
      <c r="B538" s="18"/>
      <c r="C538" s="19"/>
      <c r="D538" s="2"/>
      <c r="E538" s="2"/>
      <c r="F538" s="2"/>
      <c r="G538" s="2"/>
      <c r="H538" s="6"/>
    </row>
    <row r="539" spans="1:17" x14ac:dyDescent="0.25">
      <c r="A539" s="108" t="s">
        <v>8</v>
      </c>
      <c r="B539" s="109"/>
      <c r="C539" s="12"/>
      <c r="D539" s="2"/>
      <c r="E539" s="2"/>
      <c r="F539" s="2"/>
      <c r="G539" s="2"/>
      <c r="H539" s="6"/>
    </row>
    <row r="540" spans="1:17" ht="15" customHeight="1" x14ac:dyDescent="0.25">
      <c r="A540" s="102" t="s">
        <v>9</v>
      </c>
      <c r="B540" s="103"/>
      <c r="C540" s="16">
        <f>2682.77+552046.02</f>
        <v>554728.79</v>
      </c>
      <c r="D540" s="22"/>
      <c r="E540" s="22"/>
      <c r="F540" s="22"/>
      <c r="H540" s="20"/>
      <c r="I540" s="21"/>
      <c r="J540" s="17"/>
      <c r="K540" s="17"/>
      <c r="L540" s="17"/>
      <c r="M540" s="17"/>
      <c r="N540" s="17"/>
      <c r="O540" s="17"/>
      <c r="P540" s="5"/>
      <c r="Q540" s="5"/>
    </row>
    <row r="541" spans="1:17" ht="15" customHeight="1" x14ac:dyDescent="0.25">
      <c r="A541" s="69" t="s">
        <v>10</v>
      </c>
      <c r="B541" s="70"/>
      <c r="C541" s="16">
        <v>14426.53</v>
      </c>
      <c r="D541" s="22"/>
      <c r="E541" s="22"/>
      <c r="F541" s="22"/>
      <c r="H541" s="20"/>
      <c r="I541" s="21"/>
      <c r="J541" s="17"/>
      <c r="K541" s="17"/>
      <c r="L541" s="17"/>
      <c r="M541" s="17"/>
      <c r="N541" s="17"/>
      <c r="O541" s="17"/>
      <c r="P541" s="5"/>
      <c r="Q541" s="5"/>
    </row>
    <row r="542" spans="1:17" ht="15" customHeight="1" x14ac:dyDescent="0.25">
      <c r="A542" s="53" t="s">
        <v>11</v>
      </c>
      <c r="B542" s="54"/>
      <c r="C542" s="16">
        <v>4831.5</v>
      </c>
      <c r="D542" s="22"/>
      <c r="E542" s="22"/>
      <c r="F542" s="22"/>
      <c r="H542" s="20"/>
      <c r="I542" s="21"/>
      <c r="J542" s="17"/>
      <c r="K542" s="17"/>
      <c r="L542" s="17"/>
      <c r="M542" s="17"/>
      <c r="N542" s="17"/>
      <c r="O542" s="17"/>
      <c r="P542" s="5"/>
      <c r="Q542" s="5"/>
    </row>
    <row r="543" spans="1:17" ht="15" customHeight="1" x14ac:dyDescent="0.25">
      <c r="A543" s="53" t="s">
        <v>13</v>
      </c>
      <c r="B543" s="54"/>
      <c r="C543" s="16">
        <v>63993</v>
      </c>
      <c r="D543" s="22"/>
      <c r="E543" s="22"/>
      <c r="F543" s="22"/>
      <c r="H543" s="20"/>
      <c r="I543" s="21"/>
      <c r="J543" s="17"/>
      <c r="K543" s="17"/>
      <c r="L543" s="17"/>
      <c r="M543" s="17"/>
      <c r="N543" s="17"/>
      <c r="O543" s="17"/>
      <c r="P543" s="5"/>
      <c r="Q543" s="5"/>
    </row>
    <row r="544" spans="1:17" ht="15" customHeight="1" x14ac:dyDescent="0.25">
      <c r="A544" s="100" t="s">
        <v>14</v>
      </c>
      <c r="B544" s="101"/>
      <c r="C544" s="16">
        <v>623148</v>
      </c>
      <c r="D544" s="22"/>
      <c r="E544" s="22"/>
      <c r="F544" s="22"/>
      <c r="H544" s="20"/>
      <c r="I544" s="21"/>
      <c r="J544" s="17"/>
      <c r="K544" s="17"/>
      <c r="L544" s="17"/>
      <c r="M544" s="17"/>
      <c r="N544" s="17"/>
      <c r="O544" s="17"/>
      <c r="P544" s="5"/>
      <c r="Q544" s="5"/>
    </row>
    <row r="545" spans="1:17" ht="15" customHeight="1" x14ac:dyDescent="0.25">
      <c r="A545" s="100" t="s">
        <v>12</v>
      </c>
      <c r="B545" s="101"/>
      <c r="C545" s="16">
        <v>320433.71999999997</v>
      </c>
      <c r="D545" s="22"/>
      <c r="E545" s="22"/>
      <c r="F545" s="22"/>
      <c r="H545" s="20"/>
      <c r="I545" s="21"/>
      <c r="J545" s="17"/>
      <c r="K545" s="17"/>
      <c r="L545" s="17"/>
      <c r="M545" s="17"/>
      <c r="N545" s="17"/>
      <c r="O545" s="17"/>
      <c r="P545" s="5"/>
      <c r="Q545" s="5"/>
    </row>
    <row r="546" spans="1:17" ht="30.75" customHeight="1" x14ac:dyDescent="0.25">
      <c r="A546" s="112" t="s">
        <v>55</v>
      </c>
      <c r="B546" s="113"/>
      <c r="C546" s="82">
        <v>4977.4799999999996</v>
      </c>
      <c r="D546" s="22"/>
      <c r="E546" s="22"/>
      <c r="F546" s="22"/>
      <c r="H546" s="20"/>
      <c r="I546" s="21"/>
      <c r="J546" s="17"/>
      <c r="K546" s="17"/>
      <c r="L546" s="17"/>
      <c r="M546" s="17"/>
      <c r="N546" s="17"/>
      <c r="O546" s="17"/>
      <c r="P546" s="5"/>
      <c r="Q546" s="5"/>
    </row>
    <row r="547" spans="1:17" ht="15" customHeight="1" x14ac:dyDescent="0.25">
      <c r="A547" s="104" t="s">
        <v>15</v>
      </c>
      <c r="B547" s="105"/>
      <c r="C547" s="16">
        <v>1056527.3999999999</v>
      </c>
      <c r="D547" s="22"/>
      <c r="E547" s="22"/>
      <c r="F547" s="22"/>
      <c r="H547" s="20"/>
      <c r="I547" s="21"/>
      <c r="J547" s="17"/>
      <c r="K547" s="17"/>
      <c r="L547" s="17"/>
      <c r="M547" s="17"/>
      <c r="N547" s="17"/>
      <c r="O547" s="17"/>
      <c r="P547" s="5"/>
      <c r="Q547" s="5"/>
    </row>
    <row r="548" spans="1:17" ht="15" customHeight="1" x14ac:dyDescent="0.25">
      <c r="A548" s="92" t="s">
        <v>58</v>
      </c>
      <c r="B548" s="93"/>
      <c r="C548" s="16">
        <v>11223.09</v>
      </c>
      <c r="D548" s="22"/>
      <c r="E548" s="22"/>
      <c r="F548" s="22"/>
      <c r="H548" s="20"/>
      <c r="I548" s="21"/>
      <c r="J548" s="17"/>
      <c r="K548" s="17"/>
      <c r="L548" s="17"/>
      <c r="M548" s="17"/>
      <c r="N548" s="17"/>
      <c r="O548" s="17"/>
      <c r="P548" s="5"/>
      <c r="Q548" s="5"/>
    </row>
    <row r="549" spans="1:17" ht="15" customHeight="1" x14ac:dyDescent="0.25">
      <c r="A549" s="53" t="s">
        <v>16</v>
      </c>
      <c r="B549" s="54"/>
      <c r="C549" s="16">
        <v>441337.2</v>
      </c>
      <c r="D549" s="22"/>
      <c r="E549" s="22"/>
      <c r="F549" s="22"/>
      <c r="H549" s="20"/>
      <c r="I549" s="21"/>
      <c r="J549" s="17"/>
      <c r="K549" s="17"/>
      <c r="L549" s="17"/>
      <c r="M549" s="17"/>
      <c r="N549" s="17"/>
      <c r="O549" s="17"/>
      <c r="P549" s="5"/>
      <c r="Q549" s="5"/>
    </row>
    <row r="550" spans="1:17" ht="15" customHeight="1" thickBot="1" x14ac:dyDescent="0.3">
      <c r="A550" s="110" t="s">
        <v>17</v>
      </c>
      <c r="B550" s="111"/>
      <c r="C550" s="24">
        <v>1028299.43</v>
      </c>
      <c r="D550" s="22"/>
      <c r="E550" s="22"/>
      <c r="F550" s="22"/>
      <c r="H550" s="20"/>
      <c r="I550" s="21"/>
      <c r="J550" s="17"/>
      <c r="K550" s="17"/>
      <c r="L550" s="17"/>
      <c r="M550" s="17"/>
      <c r="N550" s="17"/>
      <c r="O550" s="17"/>
      <c r="P550" s="5"/>
      <c r="Q550" s="5"/>
    </row>
    <row r="551" spans="1:17" ht="15" customHeight="1" thickBot="1" x14ac:dyDescent="0.3">
      <c r="A551" s="106" t="s">
        <v>7</v>
      </c>
      <c r="B551" s="107"/>
      <c r="C551" s="28">
        <f>SUM(C540:C550)</f>
        <v>4123926.14</v>
      </c>
      <c r="D551" s="22"/>
      <c r="E551" s="22"/>
      <c r="F551" s="22"/>
      <c r="H551" s="20"/>
      <c r="I551" s="21"/>
      <c r="J551" s="17"/>
      <c r="K551" s="17"/>
      <c r="L551" s="17"/>
      <c r="M551" s="17"/>
      <c r="N551" s="17"/>
      <c r="O551" s="17"/>
      <c r="P551" s="5"/>
      <c r="Q551" s="5"/>
    </row>
    <row r="552" spans="1:17" ht="6.75" customHeight="1" thickBot="1" x14ac:dyDescent="0.3">
      <c r="A552" s="55"/>
      <c r="B552" s="56"/>
      <c r="C552" s="28"/>
      <c r="D552" s="22"/>
      <c r="E552" s="22"/>
      <c r="F552" s="22"/>
      <c r="H552" s="20"/>
      <c r="I552" s="21"/>
      <c r="J552" s="17"/>
      <c r="K552" s="17"/>
      <c r="L552" s="17"/>
      <c r="M552" s="17"/>
      <c r="N552" s="17"/>
      <c r="O552" s="17"/>
      <c r="P552" s="5"/>
      <c r="Q552" s="5"/>
    </row>
    <row r="556" spans="1:17" ht="18.75" customHeight="1" x14ac:dyDescent="0.25">
      <c r="A556" s="54" t="s">
        <v>49</v>
      </c>
      <c r="B556" s="65"/>
      <c r="C556" s="52" t="s">
        <v>50</v>
      </c>
      <c r="D556" s="22"/>
      <c r="E556" s="66"/>
      <c r="F556" s="66"/>
      <c r="G556" s="42"/>
      <c r="H556" s="20"/>
      <c r="I556" s="21"/>
      <c r="J556" s="17"/>
      <c r="K556" s="17"/>
      <c r="L556" s="17"/>
      <c r="M556" s="17"/>
      <c r="N556" s="17"/>
      <c r="O556" s="17"/>
      <c r="P556" s="5"/>
      <c r="Q556" s="5"/>
    </row>
    <row r="572" spans="1:8" x14ac:dyDescent="0.25">
      <c r="C572" s="2" t="s">
        <v>47</v>
      </c>
    </row>
    <row r="573" spans="1:8" x14ac:dyDescent="0.25">
      <c r="C573" s="51" t="s">
        <v>48</v>
      </c>
    </row>
    <row r="574" spans="1:8" x14ac:dyDescent="0.25">
      <c r="C574" s="50"/>
    </row>
    <row r="575" spans="1:8" ht="16.5" thickBot="1" x14ac:dyDescent="0.3"/>
    <row r="576" spans="1:8" ht="16.5" thickBot="1" x14ac:dyDescent="0.3">
      <c r="A576" s="7" t="s">
        <v>31</v>
      </c>
      <c r="B576" s="8"/>
      <c r="C576" s="9" t="s">
        <v>62</v>
      </c>
      <c r="D576" s="2"/>
      <c r="E576" s="2"/>
      <c r="F576" s="2"/>
      <c r="G576" s="2"/>
      <c r="H576" s="6"/>
    </row>
    <row r="577" spans="1:17" x14ac:dyDescent="0.25">
      <c r="A577" s="10" t="s">
        <v>1</v>
      </c>
      <c r="B577" s="11"/>
      <c r="C577" s="12"/>
      <c r="D577" s="2"/>
      <c r="E577" s="2"/>
      <c r="F577" s="2"/>
      <c r="G577" s="2"/>
      <c r="H577" s="6"/>
    </row>
    <row r="578" spans="1:17" x14ac:dyDescent="0.25">
      <c r="A578" s="13" t="s">
        <v>63</v>
      </c>
      <c r="B578" s="14"/>
      <c r="C578" s="15">
        <f>(1270496.71-61601.38-144802.67)/1.2+61601.38+144802.67</f>
        <v>1093147.9333333336</v>
      </c>
      <c r="D578" s="2"/>
      <c r="E578" s="2"/>
      <c r="F578" s="2"/>
      <c r="G578" s="2"/>
      <c r="H578" s="6"/>
    </row>
    <row r="579" spans="1:17" x14ac:dyDescent="0.25">
      <c r="A579" s="13" t="s">
        <v>2</v>
      </c>
      <c r="B579" s="14"/>
      <c r="C579" s="15">
        <f>61601.38+84597.79/1.2+144802.67+130819.73/1.2</f>
        <v>385918.65</v>
      </c>
      <c r="D579" s="2"/>
      <c r="E579" s="2"/>
      <c r="F579" s="2"/>
      <c r="G579" s="2"/>
      <c r="H579" s="6"/>
    </row>
    <row r="580" spans="1:17" x14ac:dyDescent="0.25">
      <c r="A580" s="100" t="s">
        <v>3</v>
      </c>
      <c r="B580" s="101"/>
      <c r="C580" s="16">
        <f>480772.56+674114.04/1.2+1033181.64+912062.34/1.2</f>
        <v>2835767.8499999996</v>
      </c>
      <c r="D580" s="2"/>
      <c r="E580" s="2"/>
      <c r="F580" s="2"/>
      <c r="G580" s="2"/>
      <c r="H580" s="6"/>
    </row>
    <row r="581" spans="1:17" x14ac:dyDescent="0.25">
      <c r="A581" s="53" t="s">
        <v>6</v>
      </c>
      <c r="B581" s="54"/>
      <c r="C581" s="16">
        <f>64800/1.2</f>
        <v>54000</v>
      </c>
      <c r="D581" s="2"/>
      <c r="E581" s="2"/>
      <c r="F581" s="2"/>
      <c r="G581" s="2"/>
      <c r="H581" s="6"/>
    </row>
    <row r="582" spans="1:17" x14ac:dyDescent="0.25">
      <c r="A582" s="53" t="s">
        <v>4</v>
      </c>
      <c r="B582" s="54"/>
      <c r="C582" s="16">
        <v>113450</v>
      </c>
      <c r="D582" s="2"/>
      <c r="E582" s="2"/>
      <c r="F582" s="2"/>
      <c r="G582" s="2"/>
      <c r="H582" s="6"/>
    </row>
    <row r="583" spans="1:17" x14ac:dyDescent="0.25">
      <c r="A583" s="13" t="s">
        <v>7</v>
      </c>
      <c r="B583" s="18"/>
      <c r="C583" s="19">
        <f>SUM(C580:C582)</f>
        <v>3003217.8499999996</v>
      </c>
      <c r="D583" s="2"/>
      <c r="E583" s="2"/>
      <c r="F583" s="2"/>
      <c r="G583" s="2">
        <f>C583-C599</f>
        <v>-155612.3900000006</v>
      </c>
      <c r="H583" s="6"/>
    </row>
    <row r="584" spans="1:17" x14ac:dyDescent="0.25">
      <c r="A584" s="13"/>
      <c r="B584" s="18"/>
      <c r="C584" s="19"/>
      <c r="D584" s="2"/>
      <c r="E584" s="2"/>
      <c r="F584" s="2"/>
      <c r="G584" s="2"/>
      <c r="H584" s="6"/>
    </row>
    <row r="585" spans="1:17" x14ac:dyDescent="0.25">
      <c r="A585" s="108" t="s">
        <v>8</v>
      </c>
      <c r="B585" s="109"/>
      <c r="C585" s="12"/>
      <c r="D585" s="2"/>
      <c r="E585" s="2"/>
      <c r="F585" s="2"/>
      <c r="G585" s="2"/>
      <c r="H585" s="6"/>
    </row>
    <row r="586" spans="1:17" ht="15" customHeight="1" x14ac:dyDescent="0.25">
      <c r="A586" s="102" t="s">
        <v>9</v>
      </c>
      <c r="B586" s="103"/>
      <c r="C586" s="16">
        <f>422370.91+5469.76</f>
        <v>427840.67</v>
      </c>
      <c r="D586" s="22"/>
      <c r="E586" s="22"/>
      <c r="F586" s="22"/>
      <c r="H586" s="23"/>
      <c r="I586" s="21"/>
      <c r="J586" s="17"/>
      <c r="K586" s="17"/>
      <c r="L586" s="17"/>
      <c r="M586" s="17"/>
      <c r="N586" s="17"/>
      <c r="O586" s="17"/>
      <c r="P586" s="5"/>
      <c r="Q586" s="5"/>
    </row>
    <row r="587" spans="1:17" ht="15" customHeight="1" x14ac:dyDescent="0.25">
      <c r="A587" s="53" t="s">
        <v>10</v>
      </c>
      <c r="B587" s="54"/>
      <c r="C587" s="16">
        <v>7195.58</v>
      </c>
      <c r="D587" s="22"/>
      <c r="E587" s="22"/>
      <c r="F587" s="22"/>
      <c r="H587" s="20"/>
      <c r="I587" s="21"/>
      <c r="J587" s="17"/>
      <c r="K587" s="17"/>
      <c r="L587" s="17"/>
      <c r="M587" s="17"/>
      <c r="N587" s="17"/>
      <c r="O587" s="17"/>
      <c r="P587" s="5"/>
      <c r="Q587" s="5"/>
    </row>
    <row r="588" spans="1:17" ht="15" customHeight="1" x14ac:dyDescent="0.25">
      <c r="A588" s="53" t="s">
        <v>11</v>
      </c>
      <c r="B588" s="54"/>
      <c r="C588" s="16">
        <v>4831.5</v>
      </c>
      <c r="D588" s="22"/>
      <c r="E588" s="22"/>
      <c r="F588" s="22"/>
      <c r="H588" s="20"/>
      <c r="I588" s="21"/>
      <c r="J588" s="17"/>
      <c r="K588" s="17"/>
      <c r="L588" s="17"/>
      <c r="M588" s="17"/>
      <c r="N588" s="17"/>
      <c r="O588" s="17"/>
      <c r="P588" s="5"/>
      <c r="Q588" s="5"/>
    </row>
    <row r="589" spans="1:17" ht="15" customHeight="1" x14ac:dyDescent="0.25">
      <c r="A589" s="90" t="s">
        <v>39</v>
      </c>
      <c r="B589" s="91"/>
      <c r="C589" s="16">
        <v>10000</v>
      </c>
      <c r="D589" s="22"/>
      <c r="E589" s="22"/>
      <c r="F589" s="22"/>
      <c r="H589" s="20"/>
      <c r="I589" s="21"/>
      <c r="J589" s="17"/>
      <c r="K589" s="17"/>
      <c r="L589" s="17"/>
      <c r="M589" s="17"/>
      <c r="N589" s="17"/>
      <c r="O589" s="17"/>
      <c r="P589" s="5"/>
      <c r="Q589" s="5"/>
    </row>
    <row r="590" spans="1:17" ht="15" customHeight="1" x14ac:dyDescent="0.25">
      <c r="A590" s="69" t="s">
        <v>56</v>
      </c>
      <c r="B590" s="70"/>
      <c r="C590" s="16">
        <v>106459</v>
      </c>
      <c r="D590" s="22"/>
      <c r="E590" s="22"/>
      <c r="F590" s="22"/>
      <c r="H590" s="20"/>
      <c r="I590" s="21"/>
      <c r="J590" s="17"/>
      <c r="K590" s="17"/>
      <c r="L590" s="17"/>
      <c r="M590" s="17"/>
      <c r="N590" s="17"/>
      <c r="O590" s="17"/>
      <c r="P590" s="5"/>
      <c r="Q590" s="5"/>
    </row>
    <row r="591" spans="1:17" ht="15" customHeight="1" x14ac:dyDescent="0.25">
      <c r="A591" s="53" t="s">
        <v>13</v>
      </c>
      <c r="B591" s="54"/>
      <c r="C591" s="16">
        <v>57035.16</v>
      </c>
      <c r="D591" s="22"/>
      <c r="E591" s="22"/>
      <c r="F591" s="22"/>
      <c r="H591" s="20"/>
      <c r="I591" s="21"/>
      <c r="J591" s="17"/>
      <c r="K591" s="17"/>
      <c r="L591" s="17"/>
      <c r="M591" s="17"/>
      <c r="N591" s="17"/>
      <c r="O591" s="17"/>
      <c r="P591" s="5"/>
      <c r="Q591" s="5"/>
    </row>
    <row r="592" spans="1:17" ht="15" customHeight="1" x14ac:dyDescent="0.25">
      <c r="A592" s="100" t="s">
        <v>14</v>
      </c>
      <c r="B592" s="101"/>
      <c r="C592" s="16">
        <v>337053.36</v>
      </c>
      <c r="D592" s="22"/>
      <c r="E592" s="22"/>
      <c r="F592" s="22"/>
      <c r="H592" s="20"/>
      <c r="I592" s="21"/>
      <c r="J592" s="17"/>
      <c r="K592" s="17"/>
      <c r="L592" s="17"/>
      <c r="M592" s="17"/>
      <c r="N592" s="17"/>
      <c r="O592" s="17"/>
      <c r="P592" s="5"/>
      <c r="Q592" s="5"/>
    </row>
    <row r="593" spans="1:17" ht="15" customHeight="1" x14ac:dyDescent="0.25">
      <c r="A593" s="100" t="s">
        <v>12</v>
      </c>
      <c r="B593" s="101"/>
      <c r="C593" s="16">
        <v>244570.2</v>
      </c>
      <c r="D593" s="22"/>
      <c r="E593" s="22"/>
      <c r="F593" s="22"/>
      <c r="H593" s="20"/>
      <c r="I593" s="21"/>
      <c r="J593" s="17"/>
      <c r="K593" s="17"/>
      <c r="L593" s="17"/>
      <c r="M593" s="17"/>
      <c r="N593" s="17"/>
      <c r="O593" s="17"/>
      <c r="P593" s="5"/>
      <c r="Q593" s="5"/>
    </row>
    <row r="594" spans="1:17" ht="29.25" customHeight="1" x14ac:dyDescent="0.25">
      <c r="A594" s="112" t="s">
        <v>55</v>
      </c>
      <c r="B594" s="113"/>
      <c r="C594" s="82">
        <v>11091.84</v>
      </c>
      <c r="D594" s="22"/>
      <c r="E594" s="22"/>
      <c r="F594" s="22"/>
      <c r="H594" s="20"/>
      <c r="I594" s="21"/>
      <c r="J594" s="17"/>
      <c r="K594" s="17"/>
      <c r="L594" s="17"/>
      <c r="M594" s="17"/>
      <c r="N594" s="17"/>
      <c r="O594" s="17"/>
      <c r="P594" s="5"/>
      <c r="Q594" s="5"/>
    </row>
    <row r="595" spans="1:17" ht="15" customHeight="1" x14ac:dyDescent="0.25">
      <c r="A595" s="104" t="s">
        <v>15</v>
      </c>
      <c r="B595" s="105"/>
      <c r="C595" s="16">
        <v>842855.94</v>
      </c>
      <c r="D595" s="22"/>
      <c r="E595" s="22"/>
      <c r="F595" s="22"/>
      <c r="H595" s="20"/>
      <c r="I595" s="21"/>
      <c r="J595" s="17"/>
      <c r="K595" s="17"/>
      <c r="L595" s="17"/>
      <c r="M595" s="17"/>
      <c r="N595" s="17"/>
      <c r="O595" s="17"/>
      <c r="P595" s="5"/>
      <c r="Q595" s="5"/>
    </row>
    <row r="596" spans="1:17" ht="15" customHeight="1" x14ac:dyDescent="0.25">
      <c r="A596" s="92" t="s">
        <v>65</v>
      </c>
      <c r="B596" s="93"/>
      <c r="C596" s="16">
        <v>485105.73</v>
      </c>
      <c r="D596" s="22"/>
      <c r="E596" s="22"/>
      <c r="F596" s="22"/>
      <c r="H596" s="20"/>
      <c r="I596" s="21"/>
      <c r="J596" s="17"/>
      <c r="K596" s="17"/>
      <c r="L596" s="17"/>
      <c r="M596" s="17"/>
      <c r="N596" s="17"/>
      <c r="O596" s="17"/>
      <c r="P596" s="5"/>
      <c r="Q596" s="5"/>
    </row>
    <row r="597" spans="1:17" ht="15" customHeight="1" x14ac:dyDescent="0.25">
      <c r="A597" s="53" t="s">
        <v>16</v>
      </c>
      <c r="B597" s="54"/>
      <c r="C597" s="16">
        <v>323144.15999999997</v>
      </c>
      <c r="D597" s="22"/>
      <c r="E597" s="22"/>
      <c r="F597" s="22"/>
      <c r="H597" s="20"/>
      <c r="I597" s="21"/>
      <c r="J597" s="17"/>
      <c r="K597" s="17"/>
      <c r="L597" s="17"/>
      <c r="M597" s="17"/>
      <c r="N597" s="17"/>
      <c r="O597" s="17"/>
      <c r="P597" s="5"/>
      <c r="Q597" s="5"/>
    </row>
    <row r="598" spans="1:17" ht="15" customHeight="1" thickBot="1" x14ac:dyDescent="0.3">
      <c r="A598" s="110" t="s">
        <v>17</v>
      </c>
      <c r="B598" s="111"/>
      <c r="C598" s="24">
        <v>786752.83</v>
      </c>
      <c r="D598" s="22"/>
      <c r="E598" s="22"/>
      <c r="F598" s="22"/>
      <c r="H598" s="20"/>
      <c r="I598" s="21"/>
      <c r="J598" s="17"/>
      <c r="K598" s="17"/>
      <c r="L598" s="17"/>
      <c r="M598" s="17"/>
      <c r="N598" s="17"/>
      <c r="O598" s="17"/>
      <c r="P598" s="5"/>
      <c r="Q598" s="5"/>
    </row>
    <row r="599" spans="1:17" ht="16.5" thickBot="1" x14ac:dyDescent="0.3">
      <c r="A599" s="98" t="s">
        <v>32</v>
      </c>
      <c r="B599" s="99"/>
      <c r="C599" s="28">
        <f>SUM(C586:C598)-C596</f>
        <v>3158830.24</v>
      </c>
      <c r="D599" s="2"/>
      <c r="E599" s="2"/>
      <c r="F599" s="2"/>
      <c r="G599" s="2"/>
      <c r="H599" s="6"/>
    </row>
    <row r="600" spans="1:17" ht="6" customHeight="1" thickBot="1" x14ac:dyDescent="0.3">
      <c r="A600" s="61"/>
      <c r="B600" s="62"/>
      <c r="C600" s="28"/>
      <c r="D600" s="2"/>
      <c r="E600" s="2"/>
      <c r="F600" s="2"/>
      <c r="G600" s="2"/>
      <c r="H600" s="6"/>
    </row>
    <row r="604" spans="1:17" ht="18.75" customHeight="1" x14ac:dyDescent="0.25">
      <c r="A604" s="54" t="s">
        <v>49</v>
      </c>
      <c r="B604" s="65"/>
      <c r="C604" s="52" t="s">
        <v>50</v>
      </c>
      <c r="D604" s="22"/>
      <c r="E604" s="66"/>
      <c r="F604" s="66"/>
      <c r="G604" s="42"/>
      <c r="H604" s="20"/>
      <c r="I604" s="21"/>
      <c r="J604" s="17"/>
      <c r="K604" s="17"/>
      <c r="L604" s="17"/>
      <c r="M604" s="17"/>
      <c r="N604" s="17"/>
      <c r="O604" s="17"/>
      <c r="P604" s="5"/>
      <c r="Q604" s="5"/>
    </row>
    <row r="620" spans="1:8" x14ac:dyDescent="0.25">
      <c r="C620" s="2" t="s">
        <v>47</v>
      </c>
    </row>
    <row r="621" spans="1:8" x14ac:dyDescent="0.25">
      <c r="C621" s="51" t="s">
        <v>48</v>
      </c>
    </row>
    <row r="622" spans="1:8" x14ac:dyDescent="0.25">
      <c r="C622" s="50"/>
    </row>
    <row r="623" spans="1:8" ht="16.5" thickBot="1" x14ac:dyDescent="0.3"/>
    <row r="624" spans="1:8" ht="16.5" thickBot="1" x14ac:dyDescent="0.3">
      <c r="A624" s="7" t="s">
        <v>33</v>
      </c>
      <c r="B624" s="8"/>
      <c r="C624" s="67" t="s">
        <v>62</v>
      </c>
      <c r="D624" s="2"/>
      <c r="E624" s="2"/>
      <c r="F624" s="2"/>
      <c r="G624" s="2"/>
      <c r="H624" s="6"/>
    </row>
    <row r="625" spans="1:17" x14ac:dyDescent="0.25">
      <c r="A625" s="10" t="s">
        <v>1</v>
      </c>
      <c r="B625" s="11"/>
      <c r="C625" s="37"/>
      <c r="D625" s="2"/>
      <c r="E625" s="2"/>
      <c r="F625" s="2"/>
      <c r="G625" s="2"/>
      <c r="H625" s="6"/>
    </row>
    <row r="626" spans="1:17" x14ac:dyDescent="0.25">
      <c r="A626" s="13" t="s">
        <v>63</v>
      </c>
      <c r="B626" s="14"/>
      <c r="C626" s="15">
        <f>(2093488.88-300659.85-31569.4)/1.2+300659.85+31569.4</f>
        <v>1799945.6083333334</v>
      </c>
      <c r="D626" s="2"/>
      <c r="F626" s="2"/>
      <c r="G626" s="2"/>
      <c r="H626" s="6"/>
    </row>
    <row r="627" spans="1:17" x14ac:dyDescent="0.25">
      <c r="A627" s="13" t="s">
        <v>2</v>
      </c>
      <c r="B627" s="14"/>
      <c r="C627" s="15">
        <f>143685.54/1.2+300659.85+136507.24/1.2</f>
        <v>534153.83333333326</v>
      </c>
      <c r="D627" s="2"/>
      <c r="F627" s="2"/>
      <c r="G627" s="2"/>
      <c r="H627" s="6"/>
    </row>
    <row r="628" spans="1:17" x14ac:dyDescent="0.25">
      <c r="A628" s="100" t="s">
        <v>3</v>
      </c>
      <c r="B628" s="101"/>
      <c r="C628" s="16">
        <f>1271138.16/1.2+2570460.84+1028176.98/1.2</f>
        <v>4486556.79</v>
      </c>
      <c r="D628" s="2"/>
      <c r="F628" s="2"/>
      <c r="G628" s="2"/>
      <c r="H628" s="23"/>
    </row>
    <row r="629" spans="1:17" x14ac:dyDescent="0.25">
      <c r="A629" s="100" t="s">
        <v>60</v>
      </c>
      <c r="B629" s="101"/>
      <c r="C629" s="16">
        <f>78027.42/1.2+343096.74+226637.94/1.2</f>
        <v>596984.54</v>
      </c>
      <c r="D629" s="2"/>
      <c r="E629" s="41"/>
      <c r="F629" s="22"/>
      <c r="G629" s="2"/>
      <c r="H629" s="6"/>
    </row>
    <row r="630" spans="1:17" x14ac:dyDescent="0.25">
      <c r="A630" s="53" t="s">
        <v>4</v>
      </c>
      <c r="B630" s="54"/>
      <c r="C630" s="16">
        <v>50900</v>
      </c>
      <c r="E630" s="41"/>
      <c r="F630" s="22"/>
      <c r="G630" s="2"/>
      <c r="H630" s="6"/>
    </row>
    <row r="631" spans="1:17" x14ac:dyDescent="0.25">
      <c r="A631" s="53" t="s">
        <v>6</v>
      </c>
      <c r="B631" s="54"/>
      <c r="C631" s="16">
        <f>84960/1.2</f>
        <v>70800</v>
      </c>
      <c r="D631" s="2"/>
      <c r="E631" s="41"/>
      <c r="F631" s="22"/>
      <c r="G631" s="2"/>
      <c r="H631" s="6"/>
    </row>
    <row r="632" spans="1:17" x14ac:dyDescent="0.25">
      <c r="A632" s="53" t="s">
        <v>5</v>
      </c>
      <c r="B632" s="54"/>
      <c r="C632" s="16">
        <f>778680/1.2</f>
        <v>648900</v>
      </c>
      <c r="D632" s="2"/>
      <c r="E632" s="22"/>
      <c r="F632" s="22"/>
      <c r="G632" s="2"/>
      <c r="H632" s="6"/>
    </row>
    <row r="633" spans="1:17" x14ac:dyDescent="0.25">
      <c r="A633" s="13" t="s">
        <v>7</v>
      </c>
      <c r="B633" s="18"/>
      <c r="C633" s="19">
        <f>SUM(C628:C632)</f>
        <v>5854141.3300000001</v>
      </c>
      <c r="D633" s="2"/>
      <c r="E633" s="22"/>
      <c r="F633" s="22"/>
      <c r="G633" s="2">
        <f>C633-C648</f>
        <v>-172695.26999999769</v>
      </c>
      <c r="H633" s="6"/>
    </row>
    <row r="634" spans="1:17" x14ac:dyDescent="0.25">
      <c r="A634" s="13"/>
      <c r="B634" s="18"/>
      <c r="C634" s="19"/>
      <c r="D634" s="2"/>
      <c r="E634" s="2"/>
      <c r="F634" s="2"/>
      <c r="G634" s="2"/>
      <c r="H634" s="6"/>
    </row>
    <row r="635" spans="1:17" x14ac:dyDescent="0.25">
      <c r="A635" s="108" t="s">
        <v>8</v>
      </c>
      <c r="B635" s="109"/>
      <c r="C635" s="12"/>
      <c r="D635" s="2"/>
      <c r="E635" s="2"/>
      <c r="F635" s="2"/>
      <c r="G635" s="2"/>
      <c r="H635" s="6"/>
    </row>
    <row r="636" spans="1:17" ht="15" customHeight="1" x14ac:dyDescent="0.25">
      <c r="A636" s="102" t="s">
        <v>9</v>
      </c>
      <c r="B636" s="103"/>
      <c r="C636" s="16">
        <f>7522.58+651844.69</f>
        <v>659367.2699999999</v>
      </c>
      <c r="D636" s="22"/>
      <c r="E636" s="22"/>
      <c r="F636" s="22"/>
      <c r="H636" s="20"/>
      <c r="I636" s="21"/>
      <c r="J636" s="17"/>
      <c r="K636" s="17"/>
      <c r="L636" s="17"/>
      <c r="M636" s="17"/>
      <c r="N636" s="17"/>
      <c r="O636" s="17"/>
      <c r="P636" s="5"/>
      <c r="Q636" s="5"/>
    </row>
    <row r="637" spans="1:17" ht="15" customHeight="1" x14ac:dyDescent="0.25">
      <c r="A637" s="53" t="s">
        <v>10</v>
      </c>
      <c r="B637" s="54"/>
      <c r="C637" s="16">
        <v>33442.050000000003</v>
      </c>
      <c r="D637" s="22"/>
      <c r="E637" s="22"/>
      <c r="F637" s="22"/>
      <c r="H637" s="20"/>
      <c r="I637" s="21"/>
      <c r="J637" s="17"/>
      <c r="K637" s="17"/>
      <c r="L637" s="17"/>
      <c r="M637" s="17"/>
      <c r="N637" s="17"/>
      <c r="O637" s="17"/>
      <c r="P637" s="5"/>
      <c r="Q637" s="5"/>
    </row>
    <row r="638" spans="1:17" ht="15" customHeight="1" x14ac:dyDescent="0.25">
      <c r="A638" s="53" t="s">
        <v>11</v>
      </c>
      <c r="B638" s="54"/>
      <c r="C638" s="16">
        <v>4831.5</v>
      </c>
      <c r="D638" s="22"/>
      <c r="E638" s="22"/>
      <c r="F638" s="22"/>
      <c r="H638" s="23"/>
      <c r="I638" s="21"/>
      <c r="J638" s="17"/>
      <c r="K638" s="17"/>
      <c r="L638" s="17"/>
      <c r="M638" s="17"/>
      <c r="N638" s="17"/>
      <c r="O638" s="17"/>
      <c r="P638" s="5"/>
      <c r="Q638" s="5"/>
    </row>
    <row r="639" spans="1:17" x14ac:dyDescent="0.25">
      <c r="A639" s="53" t="s">
        <v>13</v>
      </c>
      <c r="B639" s="54"/>
      <c r="C639" s="16">
        <v>88269.24</v>
      </c>
      <c r="D639" s="22"/>
      <c r="E639" s="22"/>
      <c r="F639" s="22"/>
      <c r="H639" s="20"/>
      <c r="I639" s="21"/>
      <c r="J639" s="17"/>
      <c r="K639" s="17"/>
      <c r="L639" s="17"/>
      <c r="M639" s="17"/>
      <c r="N639" s="17"/>
      <c r="O639" s="17"/>
      <c r="P639" s="5"/>
      <c r="Q639" s="5"/>
    </row>
    <row r="640" spans="1:17" ht="15" customHeight="1" x14ac:dyDescent="0.25">
      <c r="A640" s="100" t="s">
        <v>14</v>
      </c>
      <c r="B640" s="101"/>
      <c r="C640" s="16">
        <v>950485.68</v>
      </c>
      <c r="D640" s="22"/>
      <c r="E640" s="22"/>
      <c r="F640" s="22"/>
      <c r="H640" s="20"/>
      <c r="I640" s="21"/>
      <c r="J640" s="17"/>
      <c r="K640" s="17"/>
      <c r="L640" s="17"/>
      <c r="M640" s="17"/>
      <c r="N640" s="17"/>
      <c r="O640" s="17"/>
      <c r="P640" s="5"/>
      <c r="Q640" s="5"/>
    </row>
    <row r="641" spans="1:17" ht="15" customHeight="1" x14ac:dyDescent="0.25">
      <c r="A641" s="53" t="s">
        <v>12</v>
      </c>
      <c r="B641" s="54"/>
      <c r="C641" s="16">
        <v>426034.56</v>
      </c>
      <c r="D641" s="22"/>
      <c r="E641" s="22"/>
      <c r="F641" s="22"/>
      <c r="H641" s="23"/>
      <c r="I641" s="21"/>
      <c r="J641" s="17"/>
      <c r="K641" s="17"/>
      <c r="L641" s="17"/>
      <c r="M641" s="17"/>
      <c r="N641" s="17"/>
      <c r="O641" s="17"/>
      <c r="P641" s="5"/>
      <c r="Q641" s="5"/>
    </row>
    <row r="642" spans="1:17" ht="32.25" customHeight="1" x14ac:dyDescent="0.25">
      <c r="A642" s="112" t="s">
        <v>55</v>
      </c>
      <c r="B642" s="113"/>
      <c r="C642" s="82">
        <v>25639.439999999999</v>
      </c>
      <c r="D642" s="22"/>
      <c r="E642" s="22"/>
      <c r="F642" s="22"/>
      <c r="H642" s="23"/>
      <c r="I642" s="21"/>
      <c r="J642" s="17"/>
      <c r="K642" s="17"/>
      <c r="L642" s="17"/>
      <c r="M642" s="17"/>
      <c r="N642" s="17"/>
      <c r="O642" s="17"/>
      <c r="P642" s="5"/>
      <c r="Q642" s="5"/>
    </row>
    <row r="643" spans="1:17" ht="15" customHeight="1" x14ac:dyDescent="0.25">
      <c r="A643" s="53" t="s">
        <v>5</v>
      </c>
      <c r="B643" s="54"/>
      <c r="C643" s="16">
        <v>661500</v>
      </c>
      <c r="D643" s="22"/>
      <c r="E643" s="22"/>
      <c r="F643" s="22"/>
      <c r="H643" s="23"/>
      <c r="I643" s="21"/>
      <c r="J643" s="17"/>
      <c r="K643" s="17"/>
      <c r="L643" s="17"/>
      <c r="M643" s="17"/>
      <c r="N643" s="17"/>
      <c r="O643" s="17"/>
      <c r="P643" s="5"/>
      <c r="Q643" s="5"/>
    </row>
    <row r="644" spans="1:17" ht="15" customHeight="1" x14ac:dyDescent="0.25">
      <c r="A644" s="104" t="s">
        <v>15</v>
      </c>
      <c r="B644" s="105"/>
      <c r="C644" s="16">
        <v>1366215.24</v>
      </c>
      <c r="D644" s="22"/>
      <c r="E644" s="22"/>
      <c r="F644" s="22"/>
      <c r="H644" s="20"/>
      <c r="I644" s="21"/>
      <c r="J644" s="17"/>
      <c r="K644" s="17"/>
      <c r="L644" s="17"/>
      <c r="M644" s="17"/>
      <c r="N644" s="17"/>
      <c r="O644" s="17"/>
      <c r="P644" s="5"/>
      <c r="Q644" s="5"/>
    </row>
    <row r="645" spans="1:17" ht="15" customHeight="1" x14ac:dyDescent="0.25">
      <c r="A645" s="71" t="s">
        <v>65</v>
      </c>
      <c r="B645" s="72"/>
      <c r="C645" s="16">
        <v>323467.98</v>
      </c>
      <c r="D645" s="22"/>
      <c r="E645" s="22"/>
      <c r="F645" s="22"/>
      <c r="H645" s="20"/>
      <c r="I645" s="21"/>
      <c r="J645" s="17"/>
      <c r="K645" s="17"/>
      <c r="L645" s="17"/>
      <c r="M645" s="17"/>
      <c r="N645" s="17"/>
      <c r="O645" s="17"/>
      <c r="P645" s="5"/>
      <c r="Q645" s="5"/>
    </row>
    <row r="646" spans="1:17" ht="15" customHeight="1" x14ac:dyDescent="0.25">
      <c r="A646" s="53" t="s">
        <v>16</v>
      </c>
      <c r="B646" s="54"/>
      <c r="C646" s="16">
        <v>596856.6</v>
      </c>
      <c r="D646" s="22"/>
      <c r="E646" s="22"/>
      <c r="F646" s="22"/>
      <c r="H646" s="20"/>
      <c r="I646" s="21"/>
      <c r="J646" s="17"/>
      <c r="K646" s="17"/>
      <c r="L646" s="17"/>
      <c r="M646" s="17"/>
      <c r="N646" s="17"/>
      <c r="O646" s="17"/>
      <c r="P646" s="5"/>
      <c r="Q646" s="5"/>
    </row>
    <row r="647" spans="1:17" ht="15" customHeight="1" thickBot="1" x14ac:dyDescent="0.3">
      <c r="A647" s="110" t="s">
        <v>17</v>
      </c>
      <c r="B647" s="111"/>
      <c r="C647" s="24">
        <v>1214195.02</v>
      </c>
      <c r="D647" s="22"/>
      <c r="E647" s="22"/>
      <c r="F647" s="22"/>
      <c r="H647" s="20"/>
      <c r="I647" s="21"/>
      <c r="J647" s="17"/>
      <c r="K647" s="17"/>
      <c r="L647" s="17"/>
      <c r="M647" s="17"/>
      <c r="N647" s="17"/>
      <c r="O647" s="17"/>
      <c r="P647" s="5"/>
      <c r="Q647" s="5"/>
    </row>
    <row r="648" spans="1:17" ht="15" customHeight="1" thickBot="1" x14ac:dyDescent="0.3">
      <c r="A648" s="106" t="s">
        <v>7</v>
      </c>
      <c r="B648" s="107"/>
      <c r="C648" s="28">
        <f>SUM(C636:C647)-C645</f>
        <v>6026836.5999999978</v>
      </c>
      <c r="D648" s="22"/>
      <c r="E648" s="22"/>
      <c r="F648" s="22"/>
      <c r="H648" s="20"/>
      <c r="I648" s="21"/>
      <c r="J648" s="17"/>
      <c r="K648" s="17"/>
      <c r="L648" s="17"/>
      <c r="M648" s="17"/>
      <c r="N648" s="17"/>
      <c r="O648" s="17"/>
      <c r="P648" s="5"/>
      <c r="Q648" s="5"/>
    </row>
    <row r="649" spans="1:17" ht="5.25" customHeight="1" thickBot="1" x14ac:dyDescent="0.3">
      <c r="A649" s="55"/>
      <c r="B649" s="56"/>
      <c r="C649" s="28"/>
      <c r="D649" s="22"/>
      <c r="E649" s="22"/>
      <c r="F649" s="22"/>
      <c r="H649" s="20"/>
      <c r="I649" s="21"/>
      <c r="J649" s="17"/>
      <c r="K649" s="17"/>
      <c r="L649" s="17"/>
      <c r="M649" s="17"/>
      <c r="N649" s="17"/>
      <c r="O649" s="17"/>
      <c r="P649" s="5"/>
      <c r="Q649" s="5"/>
    </row>
    <row r="653" spans="1:17" ht="18.75" customHeight="1" x14ac:dyDescent="0.25">
      <c r="A653" s="54" t="s">
        <v>49</v>
      </c>
      <c r="B653" s="65"/>
      <c r="C653" s="52" t="s">
        <v>50</v>
      </c>
      <c r="D653" s="22"/>
      <c r="E653" s="66"/>
      <c r="F653" s="66"/>
      <c r="G653" s="42"/>
      <c r="H653" s="20"/>
      <c r="I653" s="21"/>
      <c r="J653" s="17"/>
      <c r="K653" s="17"/>
      <c r="L653" s="17"/>
      <c r="M653" s="17"/>
      <c r="N653" s="17"/>
      <c r="O653" s="17"/>
      <c r="P653" s="5"/>
      <c r="Q653" s="5"/>
    </row>
    <row r="667" spans="1:8" x14ac:dyDescent="0.25">
      <c r="C667" s="2" t="s">
        <v>47</v>
      </c>
    </row>
    <row r="668" spans="1:8" x14ac:dyDescent="0.25">
      <c r="C668" s="51" t="s">
        <v>48</v>
      </c>
    </row>
    <row r="669" spans="1:8" x14ac:dyDescent="0.25">
      <c r="C669" s="50"/>
    </row>
    <row r="670" spans="1:8" ht="16.5" thickBot="1" x14ac:dyDescent="0.3"/>
    <row r="671" spans="1:8" s="14" customFormat="1" ht="16.5" thickBot="1" x14ac:dyDescent="0.3">
      <c r="A671" s="43" t="s">
        <v>37</v>
      </c>
      <c r="B671" s="44"/>
      <c r="C671" s="68" t="s">
        <v>62</v>
      </c>
      <c r="D671" s="45"/>
      <c r="E671" s="46"/>
      <c r="F671" s="46"/>
      <c r="G671" s="46"/>
      <c r="H671" s="22"/>
    </row>
    <row r="672" spans="1:8" s="14" customFormat="1" x14ac:dyDescent="0.25">
      <c r="A672" s="29" t="s">
        <v>1</v>
      </c>
      <c r="B672" s="30"/>
      <c r="C672" s="31"/>
      <c r="D672" s="45"/>
      <c r="E672" s="46"/>
      <c r="F672" s="46"/>
      <c r="G672" s="46"/>
      <c r="H672" s="22"/>
    </row>
    <row r="673" spans="1:17" s="14" customFormat="1" x14ac:dyDescent="0.25">
      <c r="A673" s="13" t="s">
        <v>63</v>
      </c>
      <c r="C673" s="15">
        <f>(935640.95-152425.08-9159.45)/1.2+152425.08+9159.45</f>
        <v>806631.54666666663</v>
      </c>
      <c r="D673" s="45"/>
      <c r="E673" s="46"/>
      <c r="F673" s="46"/>
      <c r="G673" s="46"/>
      <c r="H673" s="22"/>
    </row>
    <row r="674" spans="1:17" s="14" customFormat="1" x14ac:dyDescent="0.25">
      <c r="A674" s="13" t="s">
        <v>2</v>
      </c>
      <c r="C674" s="15">
        <f>143502.5/1.2+152425.08</f>
        <v>272010.49666666664</v>
      </c>
      <c r="D674" s="45"/>
      <c r="E674" s="46"/>
      <c r="F674" s="46"/>
      <c r="G674" s="46"/>
      <c r="H674" s="22"/>
    </row>
    <row r="675" spans="1:17" s="14" customFormat="1" x14ac:dyDescent="0.25">
      <c r="A675" s="100" t="s">
        <v>3</v>
      </c>
      <c r="B675" s="101"/>
      <c r="C675" s="16">
        <f>1392700.86/1.2+1541462.46</f>
        <v>2702046.51</v>
      </c>
      <c r="D675" s="45"/>
      <c r="E675" s="46"/>
      <c r="F675" s="46"/>
      <c r="G675" s="46"/>
      <c r="H675" s="22"/>
    </row>
    <row r="676" spans="1:17" s="14" customFormat="1" x14ac:dyDescent="0.25">
      <c r="A676" s="53" t="s">
        <v>6</v>
      </c>
      <c r="B676" s="54"/>
      <c r="C676" s="16">
        <f>82680/1.2</f>
        <v>68900</v>
      </c>
      <c r="D676" s="45"/>
      <c r="E676" s="46"/>
      <c r="F676" s="46"/>
      <c r="G676" s="46"/>
      <c r="H676" s="23"/>
    </row>
    <row r="677" spans="1:17" s="14" customFormat="1" x14ac:dyDescent="0.25">
      <c r="A677" s="53" t="s">
        <v>60</v>
      </c>
      <c r="B677" s="54"/>
      <c r="C677" s="16">
        <f>95735.22/1.2+105961.02</f>
        <v>185740.37</v>
      </c>
      <c r="D677" s="22"/>
      <c r="E677" s="22"/>
      <c r="F677" s="22"/>
      <c r="G677" s="22"/>
      <c r="H677" s="22"/>
    </row>
    <row r="678" spans="1:17" s="14" customFormat="1" x14ac:dyDescent="0.25">
      <c r="A678" s="53" t="s">
        <v>42</v>
      </c>
      <c r="B678" s="54"/>
      <c r="C678" s="16">
        <v>54600</v>
      </c>
      <c r="D678" s="22"/>
      <c r="E678" s="22"/>
      <c r="F678" s="22"/>
      <c r="G678" s="22"/>
      <c r="H678" s="22"/>
    </row>
    <row r="679" spans="1:17" s="14" customFormat="1" x14ac:dyDescent="0.25">
      <c r="A679" s="53" t="s">
        <v>4</v>
      </c>
      <c r="B679" s="54"/>
      <c r="C679" s="16">
        <v>35900</v>
      </c>
      <c r="D679" s="45"/>
      <c r="E679" s="46"/>
      <c r="F679" s="46"/>
      <c r="G679" s="46"/>
      <c r="H679" s="22"/>
    </row>
    <row r="680" spans="1:17" s="14" customFormat="1" x14ac:dyDescent="0.25">
      <c r="A680" s="13" t="s">
        <v>7</v>
      </c>
      <c r="B680" s="18"/>
      <c r="C680" s="19">
        <f>SUM(C675:C679)</f>
        <v>3047186.88</v>
      </c>
      <c r="D680" s="45"/>
      <c r="E680" s="46"/>
      <c r="F680" s="46"/>
      <c r="G680" s="46">
        <f>C680-C697</f>
        <v>-89565.720000000205</v>
      </c>
      <c r="H680" s="22"/>
    </row>
    <row r="681" spans="1:17" s="14" customFormat="1" x14ac:dyDescent="0.25">
      <c r="A681" s="13"/>
      <c r="B681" s="18"/>
      <c r="C681" s="19"/>
      <c r="D681" s="45"/>
      <c r="E681" s="46"/>
      <c r="F681" s="46"/>
      <c r="G681" s="46"/>
      <c r="H681" s="22"/>
    </row>
    <row r="682" spans="1:17" s="14" customFormat="1" x14ac:dyDescent="0.25">
      <c r="A682" s="108" t="s">
        <v>8</v>
      </c>
      <c r="B682" s="109"/>
      <c r="C682" s="47"/>
      <c r="D682" s="45"/>
      <c r="E682" s="46"/>
      <c r="F682" s="46"/>
      <c r="G682" s="46"/>
      <c r="H682" s="22"/>
    </row>
    <row r="683" spans="1:17" ht="15" customHeight="1" x14ac:dyDescent="0.25">
      <c r="A683" s="100" t="s">
        <v>9</v>
      </c>
      <c r="B683" s="101"/>
      <c r="C683" s="16">
        <f>381960.71+6479.06</f>
        <v>388439.77</v>
      </c>
      <c r="D683" s="22"/>
      <c r="E683" s="22"/>
      <c r="F683" s="22"/>
      <c r="H683" s="20"/>
      <c r="I683" s="21"/>
      <c r="J683" s="17"/>
      <c r="K683" s="17"/>
      <c r="L683" s="17"/>
      <c r="M683" s="17"/>
      <c r="N683" s="17"/>
      <c r="O683" s="17"/>
      <c r="P683" s="5"/>
      <c r="Q683" s="5"/>
    </row>
    <row r="684" spans="1:17" ht="15" customHeight="1" x14ac:dyDescent="0.25">
      <c r="A684" s="90" t="s">
        <v>10</v>
      </c>
      <c r="B684" s="91"/>
      <c r="C684" s="16">
        <v>9422.69</v>
      </c>
      <c r="D684" s="22"/>
      <c r="E684" s="22"/>
      <c r="F684" s="22"/>
      <c r="H684" s="20"/>
      <c r="I684" s="21"/>
      <c r="J684" s="17"/>
      <c r="K684" s="17"/>
      <c r="L684" s="17"/>
      <c r="M684" s="17"/>
      <c r="N684" s="17"/>
      <c r="O684" s="17"/>
      <c r="P684" s="5"/>
      <c r="Q684" s="5"/>
    </row>
    <row r="685" spans="1:17" ht="15" customHeight="1" x14ac:dyDescent="0.25">
      <c r="A685" s="53" t="s">
        <v>11</v>
      </c>
      <c r="B685" s="54"/>
      <c r="C685" s="16">
        <v>4831.5</v>
      </c>
      <c r="D685" s="22"/>
      <c r="E685" s="22"/>
      <c r="F685" s="22"/>
      <c r="H685" s="20"/>
      <c r="I685" s="21"/>
      <c r="J685" s="17"/>
      <c r="K685" s="17"/>
      <c r="L685" s="17"/>
      <c r="M685" s="17"/>
      <c r="N685" s="17"/>
      <c r="O685" s="17"/>
      <c r="P685" s="5"/>
      <c r="Q685" s="5"/>
    </row>
    <row r="686" spans="1:17" ht="15" customHeight="1" x14ac:dyDescent="0.25">
      <c r="A686" s="53" t="s">
        <v>13</v>
      </c>
      <c r="B686" s="54"/>
      <c r="C686" s="16">
        <v>52935.72</v>
      </c>
      <c r="D686" s="22"/>
      <c r="E686" s="22"/>
      <c r="F686" s="22"/>
      <c r="H686" s="20"/>
      <c r="I686" s="21"/>
      <c r="J686" s="17"/>
      <c r="K686" s="17"/>
      <c r="L686" s="17"/>
      <c r="M686" s="17"/>
      <c r="N686" s="17"/>
      <c r="O686" s="17"/>
      <c r="P686" s="5"/>
      <c r="Q686" s="5"/>
    </row>
    <row r="687" spans="1:17" ht="15" customHeight="1" x14ac:dyDescent="0.25">
      <c r="A687" s="100" t="s">
        <v>14</v>
      </c>
      <c r="B687" s="101"/>
      <c r="C687" s="16">
        <v>537456.48</v>
      </c>
      <c r="D687" s="22"/>
      <c r="E687" s="22"/>
      <c r="F687" s="22"/>
      <c r="H687" s="20"/>
      <c r="I687" s="21"/>
      <c r="J687" s="17"/>
      <c r="K687" s="17"/>
      <c r="L687" s="17"/>
      <c r="M687" s="17"/>
      <c r="N687" s="17"/>
      <c r="O687" s="17"/>
      <c r="P687" s="5"/>
      <c r="Q687" s="5"/>
    </row>
    <row r="688" spans="1:17" ht="15" customHeight="1" x14ac:dyDescent="0.25">
      <c r="A688" s="100" t="s">
        <v>12</v>
      </c>
      <c r="B688" s="101"/>
      <c r="C688" s="16">
        <v>240073.32</v>
      </c>
      <c r="D688" s="22"/>
      <c r="E688" s="22"/>
      <c r="F688" s="22"/>
      <c r="H688" s="20"/>
      <c r="I688" s="21"/>
      <c r="J688" s="17"/>
      <c r="K688" s="17"/>
      <c r="L688" s="17"/>
      <c r="M688" s="17"/>
      <c r="N688" s="17"/>
      <c r="O688" s="17"/>
      <c r="P688" s="5"/>
      <c r="Q688" s="5"/>
    </row>
    <row r="689" spans="1:17" ht="30" customHeight="1" x14ac:dyDescent="0.25">
      <c r="A689" s="112" t="s">
        <v>55</v>
      </c>
      <c r="B689" s="113"/>
      <c r="C689" s="82">
        <v>28287.24</v>
      </c>
      <c r="D689" s="22"/>
      <c r="E689" s="22"/>
      <c r="F689" s="22"/>
      <c r="H689" s="20"/>
      <c r="I689" s="21"/>
      <c r="J689" s="17"/>
      <c r="K689" s="17"/>
      <c r="L689" s="17"/>
      <c r="M689" s="17"/>
      <c r="N689" s="17"/>
      <c r="O689" s="17"/>
      <c r="P689" s="5"/>
      <c r="Q689" s="5"/>
    </row>
    <row r="690" spans="1:17" ht="15" customHeight="1" x14ac:dyDescent="0.25">
      <c r="A690" s="57" t="s">
        <v>19</v>
      </c>
      <c r="B690" s="58"/>
      <c r="C690" s="16">
        <v>14229.36</v>
      </c>
      <c r="D690" s="22"/>
      <c r="E690" s="22"/>
      <c r="F690" s="22"/>
      <c r="H690" s="20"/>
      <c r="I690" s="21"/>
      <c r="J690" s="17"/>
      <c r="K690" s="17"/>
      <c r="L690" s="17"/>
      <c r="M690" s="17"/>
      <c r="N690" s="17"/>
      <c r="O690" s="17"/>
      <c r="P690" s="5"/>
      <c r="Q690" s="5"/>
    </row>
    <row r="691" spans="1:17" ht="15" customHeight="1" x14ac:dyDescent="0.25">
      <c r="A691" s="104" t="s">
        <v>15</v>
      </c>
      <c r="B691" s="105"/>
      <c r="C691" s="16">
        <v>772532.64</v>
      </c>
      <c r="D691" s="22"/>
      <c r="E691" s="22"/>
      <c r="F691" s="22"/>
      <c r="H691" s="20"/>
      <c r="I691" s="21"/>
      <c r="J691" s="17"/>
      <c r="K691" s="17"/>
      <c r="L691" s="17"/>
      <c r="M691" s="17"/>
      <c r="N691" s="17"/>
      <c r="O691" s="17"/>
      <c r="P691" s="5"/>
      <c r="Q691" s="5"/>
    </row>
    <row r="692" spans="1:17" ht="15" customHeight="1" x14ac:dyDescent="0.25">
      <c r="A692" s="92" t="s">
        <v>30</v>
      </c>
      <c r="B692" s="93"/>
      <c r="C692" s="16">
        <v>15568</v>
      </c>
      <c r="D692" s="22"/>
      <c r="E692" s="22"/>
      <c r="F692" s="22"/>
      <c r="H692" s="20"/>
      <c r="I692" s="21"/>
      <c r="J692" s="17"/>
      <c r="K692" s="17"/>
      <c r="L692" s="17"/>
      <c r="M692" s="17"/>
      <c r="N692" s="17"/>
      <c r="O692" s="17"/>
      <c r="P692" s="5"/>
      <c r="Q692" s="5"/>
    </row>
    <row r="693" spans="1:17" ht="15" customHeight="1" x14ac:dyDescent="0.25">
      <c r="A693" s="92" t="s">
        <v>65</v>
      </c>
      <c r="B693" s="93"/>
      <c r="C693" s="16">
        <v>709923.19</v>
      </c>
      <c r="D693" s="22"/>
      <c r="E693" s="22"/>
      <c r="F693" s="22"/>
      <c r="H693" s="20"/>
      <c r="I693" s="21"/>
      <c r="J693" s="17"/>
      <c r="K693" s="17"/>
      <c r="L693" s="17"/>
      <c r="M693" s="17"/>
      <c r="N693" s="17"/>
      <c r="O693" s="17"/>
      <c r="P693" s="5"/>
      <c r="Q693" s="5"/>
    </row>
    <row r="694" spans="1:17" ht="15" customHeight="1" x14ac:dyDescent="0.25">
      <c r="A694" s="53" t="s">
        <v>16</v>
      </c>
      <c r="B694" s="54"/>
      <c r="C694" s="16">
        <v>337495.38</v>
      </c>
      <c r="D694" s="22"/>
      <c r="E694" s="22"/>
      <c r="F694" s="22"/>
      <c r="H694" s="20"/>
      <c r="I694" s="21"/>
      <c r="J694" s="17"/>
      <c r="K694" s="17"/>
      <c r="L694" s="17"/>
      <c r="M694" s="17"/>
      <c r="N694" s="17"/>
      <c r="O694" s="17"/>
      <c r="P694" s="5"/>
      <c r="Q694" s="5"/>
    </row>
    <row r="695" spans="1:17" ht="15" customHeight="1" x14ac:dyDescent="0.25">
      <c r="A695" s="53" t="s">
        <v>39</v>
      </c>
      <c r="B695" s="54"/>
      <c r="C695" s="16">
        <v>24000</v>
      </c>
      <c r="D695" s="22"/>
      <c r="E695" s="22"/>
      <c r="F695" s="22"/>
      <c r="H695" s="20"/>
      <c r="I695" s="21"/>
      <c r="J695" s="17"/>
      <c r="K695" s="17"/>
      <c r="L695" s="17"/>
      <c r="M695" s="17"/>
      <c r="N695" s="17"/>
      <c r="O695" s="17"/>
      <c r="P695" s="5"/>
      <c r="Q695" s="5"/>
    </row>
    <row r="696" spans="1:17" ht="15" customHeight="1" thickBot="1" x14ac:dyDescent="0.3">
      <c r="A696" s="110" t="s">
        <v>17</v>
      </c>
      <c r="B696" s="111"/>
      <c r="C696" s="24">
        <v>711480.5</v>
      </c>
      <c r="D696" s="22"/>
      <c r="E696" s="22"/>
      <c r="F696" s="22"/>
      <c r="H696" s="20"/>
      <c r="I696" s="21"/>
      <c r="J696" s="17"/>
      <c r="K696" s="17"/>
      <c r="L696" s="17"/>
      <c r="M696" s="17"/>
      <c r="N696" s="17"/>
      <c r="O696" s="17"/>
      <c r="P696" s="5"/>
      <c r="Q696" s="5"/>
    </row>
    <row r="697" spans="1:17" ht="15" customHeight="1" thickBot="1" x14ac:dyDescent="0.3">
      <c r="A697" s="106" t="s">
        <v>7</v>
      </c>
      <c r="B697" s="107"/>
      <c r="C697" s="28">
        <f>SUM(C683:C696)-C693</f>
        <v>3136752.6</v>
      </c>
      <c r="D697" s="22"/>
      <c r="E697" s="22"/>
      <c r="F697" s="22"/>
      <c r="H697" s="20"/>
      <c r="I697" s="21"/>
      <c r="J697" s="17"/>
      <c r="K697" s="17"/>
      <c r="L697" s="17"/>
      <c r="M697" s="17"/>
      <c r="N697" s="17"/>
      <c r="O697" s="17"/>
      <c r="P697" s="5"/>
      <c r="Q697" s="5"/>
    </row>
    <row r="698" spans="1:17" ht="6.75" customHeight="1" thickBot="1" x14ac:dyDescent="0.3">
      <c r="A698" s="55"/>
      <c r="B698" s="56"/>
      <c r="C698" s="28"/>
      <c r="D698" s="22"/>
      <c r="E698" s="22"/>
      <c r="F698" s="22"/>
      <c r="H698" s="20"/>
      <c r="I698" s="21"/>
      <c r="J698" s="17"/>
      <c r="K698" s="17"/>
      <c r="L698" s="17"/>
      <c r="M698" s="17"/>
      <c r="N698" s="17"/>
      <c r="O698" s="17"/>
      <c r="P698" s="5"/>
      <c r="Q698" s="5"/>
    </row>
    <row r="699" spans="1:17" x14ac:dyDescent="0.25">
      <c r="A699" s="65"/>
      <c r="B699" s="65"/>
      <c r="C699" s="42"/>
      <c r="D699" s="22"/>
      <c r="E699" s="22"/>
      <c r="F699" s="22"/>
      <c r="H699" s="20"/>
      <c r="I699" s="21"/>
      <c r="J699" s="17"/>
      <c r="K699" s="17"/>
      <c r="L699" s="17"/>
      <c r="M699" s="17"/>
      <c r="N699" s="17"/>
      <c r="O699" s="17"/>
      <c r="P699" s="5"/>
      <c r="Q699" s="5"/>
    </row>
    <row r="700" spans="1:17" x14ac:dyDescent="0.25">
      <c r="A700" s="65"/>
      <c r="B700" s="65"/>
      <c r="C700" s="42"/>
      <c r="D700" s="22"/>
      <c r="E700" s="22"/>
      <c r="F700" s="22"/>
      <c r="H700" s="20"/>
      <c r="I700" s="21"/>
      <c r="J700" s="17"/>
      <c r="K700" s="17"/>
      <c r="L700" s="17"/>
      <c r="M700" s="17"/>
      <c r="N700" s="17"/>
      <c r="O700" s="17"/>
      <c r="P700" s="5"/>
      <c r="Q700" s="5"/>
    </row>
    <row r="701" spans="1:17" x14ac:dyDescent="0.25">
      <c r="A701" s="65"/>
      <c r="B701" s="65"/>
      <c r="C701" s="42"/>
      <c r="D701" s="22"/>
      <c r="E701" s="22"/>
      <c r="F701" s="22"/>
      <c r="H701" s="20"/>
      <c r="I701" s="21"/>
      <c r="J701" s="17"/>
      <c r="K701" s="17"/>
      <c r="L701" s="17"/>
      <c r="M701" s="17"/>
      <c r="N701" s="17"/>
      <c r="O701" s="17"/>
      <c r="P701" s="5"/>
      <c r="Q701" s="5"/>
    </row>
    <row r="702" spans="1:17" ht="18.75" customHeight="1" x14ac:dyDescent="0.25">
      <c r="A702" s="54" t="s">
        <v>49</v>
      </c>
      <c r="B702" s="65"/>
      <c r="C702" s="52" t="s">
        <v>50</v>
      </c>
      <c r="D702" s="22"/>
      <c r="E702" s="66"/>
      <c r="F702" s="66"/>
      <c r="G702" s="42"/>
      <c r="H702" s="20"/>
      <c r="I702" s="21"/>
      <c r="J702" s="17"/>
      <c r="K702" s="17"/>
      <c r="L702" s="17"/>
      <c r="M702" s="17"/>
      <c r="N702" s="17"/>
      <c r="O702" s="17"/>
      <c r="P702" s="5"/>
      <c r="Q702" s="5"/>
    </row>
    <row r="715" spans="1:8" x14ac:dyDescent="0.25">
      <c r="C715" s="2" t="s">
        <v>47</v>
      </c>
    </row>
    <row r="716" spans="1:8" x14ac:dyDescent="0.25">
      <c r="C716" s="51" t="s">
        <v>48</v>
      </c>
    </row>
    <row r="717" spans="1:8" x14ac:dyDescent="0.25">
      <c r="C717" s="50"/>
    </row>
    <row r="718" spans="1:8" ht="16.5" thickBot="1" x14ac:dyDescent="0.3"/>
    <row r="719" spans="1:8" s="14" customFormat="1" ht="16.5" thickBot="1" x14ac:dyDescent="0.3">
      <c r="A719" s="7" t="s">
        <v>38</v>
      </c>
      <c r="B719" s="8"/>
      <c r="C719" s="9" t="s">
        <v>62</v>
      </c>
      <c r="D719" s="22"/>
      <c r="E719" s="22"/>
      <c r="F719" s="22"/>
      <c r="G719" s="22"/>
      <c r="H719" s="22"/>
    </row>
    <row r="720" spans="1:8" s="14" customFormat="1" x14ac:dyDescent="0.25">
      <c r="A720" s="10" t="s">
        <v>1</v>
      </c>
      <c r="B720" s="11"/>
      <c r="C720" s="12"/>
      <c r="D720" s="22"/>
      <c r="E720" s="22"/>
      <c r="F720" s="22"/>
      <c r="G720" s="22"/>
      <c r="H720" s="22"/>
    </row>
    <row r="721" spans="1:17" s="14" customFormat="1" x14ac:dyDescent="0.25">
      <c r="A721" s="13" t="s">
        <v>63</v>
      </c>
      <c r="C721" s="15">
        <f>(760440.39-13253.7-136650.93)/1.2+13253.7+136650.93</f>
        <v>658684.43000000005</v>
      </c>
      <c r="D721" s="22"/>
      <c r="E721" s="22"/>
      <c r="F721" s="22"/>
      <c r="G721" s="22"/>
      <c r="H721" s="22"/>
    </row>
    <row r="722" spans="1:17" s="14" customFormat="1" x14ac:dyDescent="0.25">
      <c r="A722" s="13" t="s">
        <v>2</v>
      </c>
      <c r="C722" s="15">
        <f>126942.79/1.2+136650.93</f>
        <v>242436.58833333332</v>
      </c>
      <c r="D722" s="22"/>
      <c r="E722" s="22"/>
      <c r="F722" s="22"/>
      <c r="G722" s="22"/>
      <c r="H722" s="22"/>
    </row>
    <row r="723" spans="1:17" s="14" customFormat="1" x14ac:dyDescent="0.25">
      <c r="A723" s="100" t="s">
        <v>3</v>
      </c>
      <c r="B723" s="101"/>
      <c r="C723" s="16">
        <f>1292895.48+1168122.72/1.2</f>
        <v>2266331.08</v>
      </c>
      <c r="D723" s="22"/>
      <c r="E723" s="22"/>
      <c r="F723" s="22"/>
      <c r="G723" s="22"/>
      <c r="H723" s="23"/>
    </row>
    <row r="724" spans="1:17" s="14" customFormat="1" x14ac:dyDescent="0.25">
      <c r="A724" s="100" t="s">
        <v>60</v>
      </c>
      <c r="B724" s="101"/>
      <c r="C724" s="16">
        <f>97266.18+87879.24/1.2</f>
        <v>170498.88</v>
      </c>
      <c r="D724" s="22"/>
      <c r="E724" s="22"/>
      <c r="F724" s="22"/>
      <c r="G724" s="22"/>
      <c r="H724" s="22"/>
    </row>
    <row r="725" spans="1:17" s="14" customFormat="1" x14ac:dyDescent="0.25">
      <c r="A725" s="53" t="s">
        <v>6</v>
      </c>
      <c r="B725" s="54"/>
      <c r="C725" s="16">
        <f>64872/1.2</f>
        <v>54060</v>
      </c>
      <c r="D725" s="22"/>
      <c r="E725" s="22"/>
      <c r="F725" s="22"/>
      <c r="G725" s="22"/>
      <c r="H725" s="22"/>
    </row>
    <row r="726" spans="1:17" s="14" customFormat="1" x14ac:dyDescent="0.25">
      <c r="A726" s="53" t="s">
        <v>42</v>
      </c>
      <c r="B726" s="54"/>
      <c r="C726" s="16">
        <f>(760440.39-13253.7-136650.93)/1.2+13253.7+136650.93</f>
        <v>658684.43000000005</v>
      </c>
      <c r="D726" s="22"/>
      <c r="E726" s="22"/>
      <c r="F726" s="22"/>
      <c r="G726" s="22"/>
      <c r="H726" s="22"/>
    </row>
    <row r="727" spans="1:17" s="14" customFormat="1" x14ac:dyDescent="0.25">
      <c r="A727" s="53" t="s">
        <v>4</v>
      </c>
      <c r="B727" s="54"/>
      <c r="C727" s="16">
        <v>56650</v>
      </c>
      <c r="D727" s="22"/>
      <c r="E727" s="22"/>
      <c r="F727" s="22"/>
      <c r="G727" s="22"/>
      <c r="H727" s="22"/>
    </row>
    <row r="728" spans="1:17" s="14" customFormat="1" x14ac:dyDescent="0.25">
      <c r="A728" s="13" t="s">
        <v>7</v>
      </c>
      <c r="B728" s="18"/>
      <c r="C728" s="19">
        <f>SUM(C723:C727)</f>
        <v>3206224.39</v>
      </c>
      <c r="D728" s="22"/>
      <c r="E728" s="22"/>
      <c r="F728" s="22"/>
      <c r="G728" s="46">
        <f>C728-C745</f>
        <v>560191.77</v>
      </c>
      <c r="H728" s="22"/>
    </row>
    <row r="729" spans="1:17" s="14" customFormat="1" x14ac:dyDescent="0.25">
      <c r="A729" s="13"/>
      <c r="B729" s="18"/>
      <c r="C729" s="19"/>
      <c r="D729" s="22"/>
      <c r="E729" s="22"/>
      <c r="F729" s="22"/>
      <c r="G729" s="22"/>
      <c r="H729" s="22"/>
    </row>
    <row r="730" spans="1:17" s="14" customFormat="1" x14ac:dyDescent="0.25">
      <c r="A730" s="108" t="s">
        <v>8</v>
      </c>
      <c r="B730" s="109"/>
      <c r="C730" s="12"/>
      <c r="D730" s="22"/>
      <c r="E730" s="22"/>
      <c r="F730" s="22"/>
      <c r="G730" s="22"/>
      <c r="H730" s="22"/>
    </row>
    <row r="731" spans="1:17" ht="15" customHeight="1" x14ac:dyDescent="0.25">
      <c r="A731" s="102" t="s">
        <v>9</v>
      </c>
      <c r="B731" s="103"/>
      <c r="C731" s="16">
        <f>4355.18+320400.38</f>
        <v>324755.56</v>
      </c>
      <c r="D731" s="22"/>
      <c r="E731" s="22"/>
      <c r="F731" s="22"/>
      <c r="H731" s="20"/>
      <c r="I731" s="21"/>
      <c r="J731" s="17"/>
      <c r="K731" s="17"/>
      <c r="L731" s="17"/>
      <c r="M731" s="17"/>
      <c r="N731" s="17"/>
      <c r="O731" s="17"/>
      <c r="P731" s="5"/>
      <c r="Q731" s="5"/>
    </row>
    <row r="732" spans="1:17" ht="15" customHeight="1" x14ac:dyDescent="0.25">
      <c r="A732" s="53" t="s">
        <v>10</v>
      </c>
      <c r="B732" s="54"/>
      <c r="C732" s="16">
        <v>5810.11</v>
      </c>
      <c r="D732" s="22"/>
      <c r="E732" s="22"/>
      <c r="F732" s="22"/>
      <c r="H732" s="20"/>
      <c r="I732" s="21"/>
      <c r="J732" s="17"/>
      <c r="K732" s="17"/>
      <c r="L732" s="17"/>
      <c r="M732" s="17"/>
      <c r="N732" s="17"/>
      <c r="O732" s="17"/>
      <c r="P732" s="5"/>
      <c r="Q732" s="5"/>
    </row>
    <row r="733" spans="1:17" ht="15" customHeight="1" x14ac:dyDescent="0.25">
      <c r="A733" s="53" t="s">
        <v>11</v>
      </c>
      <c r="B733" s="54"/>
      <c r="C733" s="16">
        <v>4831.5</v>
      </c>
      <c r="D733" s="22"/>
      <c r="E733" s="22"/>
      <c r="F733" s="22"/>
      <c r="H733" s="20"/>
      <c r="I733" s="21"/>
      <c r="J733" s="17"/>
      <c r="K733" s="17"/>
      <c r="L733" s="17"/>
      <c r="M733" s="17"/>
      <c r="N733" s="17"/>
      <c r="O733" s="17"/>
      <c r="P733" s="5"/>
      <c r="Q733" s="5"/>
    </row>
    <row r="734" spans="1:17" ht="15" customHeight="1" x14ac:dyDescent="0.25">
      <c r="A734" s="53" t="s">
        <v>13</v>
      </c>
      <c r="B734" s="54"/>
      <c r="C734" s="16">
        <v>44397.84</v>
      </c>
      <c r="D734" s="22"/>
      <c r="E734" s="22"/>
      <c r="F734" s="22"/>
      <c r="H734" s="20"/>
      <c r="I734" s="21"/>
      <c r="J734" s="17"/>
      <c r="K734" s="17"/>
      <c r="L734" s="17"/>
      <c r="M734" s="17"/>
      <c r="N734" s="17"/>
      <c r="O734" s="17"/>
      <c r="P734" s="5"/>
      <c r="Q734" s="5"/>
    </row>
    <row r="735" spans="1:17" ht="15" customHeight="1" x14ac:dyDescent="0.25">
      <c r="A735" s="100" t="s">
        <v>14</v>
      </c>
      <c r="B735" s="101"/>
      <c r="C735" s="16">
        <v>453510.48</v>
      </c>
      <c r="D735" s="22"/>
      <c r="E735" s="22"/>
      <c r="F735" s="22"/>
      <c r="H735" s="20"/>
      <c r="I735" s="21"/>
      <c r="J735" s="17"/>
      <c r="K735" s="17"/>
      <c r="L735" s="17"/>
      <c r="M735" s="17"/>
      <c r="N735" s="17"/>
      <c r="O735" s="17"/>
      <c r="P735" s="5"/>
      <c r="Q735" s="5"/>
    </row>
    <row r="736" spans="1:17" ht="15" customHeight="1" x14ac:dyDescent="0.25">
      <c r="A736" s="100" t="s">
        <v>12</v>
      </c>
      <c r="B736" s="101"/>
      <c r="C736" s="16">
        <v>202994.68</v>
      </c>
      <c r="D736" s="22"/>
      <c r="E736" s="22"/>
      <c r="F736" s="22"/>
      <c r="H736" s="20"/>
      <c r="I736" s="21"/>
      <c r="J736" s="17"/>
      <c r="K736" s="17"/>
      <c r="L736" s="17"/>
      <c r="M736" s="17"/>
      <c r="N736" s="17"/>
      <c r="O736" s="17"/>
      <c r="P736" s="5"/>
      <c r="Q736" s="5"/>
    </row>
    <row r="737" spans="1:17" ht="29.25" customHeight="1" x14ac:dyDescent="0.25">
      <c r="A737" s="112" t="s">
        <v>55</v>
      </c>
      <c r="B737" s="113"/>
      <c r="C737" s="16">
        <v>23868.959999999999</v>
      </c>
      <c r="D737" s="22"/>
      <c r="E737" s="22"/>
      <c r="F737" s="22"/>
      <c r="H737" s="20"/>
      <c r="I737" s="21"/>
      <c r="J737" s="17"/>
      <c r="K737" s="17"/>
      <c r="L737" s="17"/>
      <c r="M737" s="17"/>
      <c r="N737" s="17"/>
      <c r="O737" s="17"/>
      <c r="P737" s="5"/>
      <c r="Q737" s="5"/>
    </row>
    <row r="738" spans="1:17" ht="15" customHeight="1" x14ac:dyDescent="0.25">
      <c r="A738" s="57" t="s">
        <v>19</v>
      </c>
      <c r="B738" s="58"/>
      <c r="C738" s="16">
        <v>12006.36</v>
      </c>
      <c r="D738" s="22"/>
      <c r="E738" s="22"/>
      <c r="F738" s="22"/>
      <c r="H738" s="20"/>
      <c r="I738" s="21"/>
      <c r="J738" s="17"/>
      <c r="K738" s="17"/>
      <c r="L738" s="17"/>
      <c r="M738" s="17"/>
      <c r="N738" s="17"/>
      <c r="O738" s="17"/>
      <c r="P738" s="5"/>
      <c r="Q738" s="5"/>
    </row>
    <row r="739" spans="1:17" ht="15" customHeight="1" x14ac:dyDescent="0.25">
      <c r="A739" s="104" t="s">
        <v>15</v>
      </c>
      <c r="B739" s="105"/>
      <c r="C739" s="16">
        <v>651869.88</v>
      </c>
      <c r="D739" s="22"/>
      <c r="E739" s="22"/>
      <c r="F739" s="22"/>
      <c r="H739" s="20"/>
      <c r="I739" s="21"/>
      <c r="J739" s="17"/>
      <c r="K739" s="17"/>
      <c r="L739" s="17"/>
      <c r="M739" s="17"/>
      <c r="N739" s="17"/>
      <c r="O739" s="17"/>
      <c r="P739" s="5"/>
      <c r="Q739" s="5"/>
    </row>
    <row r="740" spans="1:17" ht="15" customHeight="1" x14ac:dyDescent="0.25">
      <c r="A740" s="92" t="s">
        <v>30</v>
      </c>
      <c r="B740" s="93"/>
      <c r="C740" s="16">
        <v>16394</v>
      </c>
      <c r="D740" s="22"/>
      <c r="E740" s="22"/>
      <c r="F740" s="22"/>
      <c r="H740" s="20"/>
      <c r="I740" s="21"/>
      <c r="J740" s="17"/>
      <c r="K740" s="17"/>
      <c r="L740" s="17"/>
      <c r="M740" s="17"/>
      <c r="N740" s="17"/>
      <c r="O740" s="17"/>
      <c r="P740" s="5"/>
      <c r="Q740" s="5"/>
    </row>
    <row r="741" spans="1:17" ht="15" customHeight="1" x14ac:dyDescent="0.25">
      <c r="A741" s="92" t="s">
        <v>65</v>
      </c>
      <c r="B741" s="93"/>
      <c r="C741" s="16">
        <v>556622.43999999994</v>
      </c>
      <c r="D741" s="22"/>
      <c r="E741" s="22"/>
      <c r="F741" s="22"/>
      <c r="H741" s="20"/>
      <c r="I741" s="21"/>
      <c r="J741" s="17"/>
      <c r="K741" s="17"/>
      <c r="L741" s="17"/>
      <c r="M741" s="17"/>
      <c r="N741" s="17"/>
      <c r="O741" s="17"/>
      <c r="P741" s="5"/>
      <c r="Q741" s="5"/>
    </row>
    <row r="742" spans="1:17" ht="15" customHeight="1" x14ac:dyDescent="0.25">
      <c r="A742" s="53" t="s">
        <v>16</v>
      </c>
      <c r="B742" s="54"/>
      <c r="C742" s="16">
        <v>284781.53999999998</v>
      </c>
      <c r="D742" s="22"/>
      <c r="E742" s="22"/>
      <c r="F742" s="22"/>
      <c r="H742" s="20"/>
      <c r="I742" s="21"/>
      <c r="J742" s="17"/>
      <c r="K742" s="17"/>
      <c r="L742" s="17"/>
      <c r="M742" s="17"/>
      <c r="N742" s="17"/>
      <c r="O742" s="17"/>
      <c r="P742" s="5"/>
      <c r="Q742" s="5"/>
    </row>
    <row r="743" spans="1:17" ht="15" customHeight="1" x14ac:dyDescent="0.25">
      <c r="A743" s="53" t="s">
        <v>39</v>
      </c>
      <c r="B743" s="54"/>
      <c r="C743" s="16">
        <v>24000</v>
      </c>
      <c r="D743" s="22"/>
      <c r="E743" s="22"/>
      <c r="F743" s="22"/>
      <c r="H743" s="20"/>
      <c r="I743" s="21"/>
      <c r="J743" s="17"/>
      <c r="K743" s="17"/>
      <c r="L743" s="17"/>
      <c r="M743" s="17"/>
      <c r="N743" s="17"/>
      <c r="O743" s="17"/>
      <c r="P743" s="5"/>
      <c r="Q743" s="5"/>
    </row>
    <row r="744" spans="1:17" ht="15" customHeight="1" thickBot="1" x14ac:dyDescent="0.3">
      <c r="A744" s="110" t="s">
        <v>17</v>
      </c>
      <c r="B744" s="111"/>
      <c r="C744" s="24">
        <v>596811.71</v>
      </c>
      <c r="D744" s="22"/>
      <c r="E744" s="22"/>
      <c r="F744" s="22"/>
      <c r="H744" s="20"/>
      <c r="I744" s="21"/>
      <c r="J744" s="17"/>
      <c r="K744" s="17"/>
      <c r="L744" s="17"/>
      <c r="M744" s="17"/>
      <c r="N744" s="17"/>
      <c r="O744" s="17"/>
      <c r="P744" s="5"/>
      <c r="Q744" s="5"/>
    </row>
    <row r="745" spans="1:17" ht="16.5" thickBot="1" x14ac:dyDescent="0.3">
      <c r="A745" s="106" t="s">
        <v>7</v>
      </c>
      <c r="B745" s="107"/>
      <c r="C745" s="28">
        <f>SUM(C731:C744)-C741</f>
        <v>2646032.62</v>
      </c>
      <c r="D745" s="2"/>
      <c r="E745" s="2"/>
      <c r="F745" s="2"/>
      <c r="G745" s="2"/>
      <c r="H745" s="6"/>
    </row>
    <row r="746" spans="1:17" ht="8.25" customHeight="1" thickBot="1" x14ac:dyDescent="0.3">
      <c r="A746" s="55"/>
      <c r="B746" s="56"/>
      <c r="C746" s="28"/>
      <c r="D746" s="2"/>
      <c r="E746" s="2"/>
      <c r="F746" s="2"/>
      <c r="G746" s="2"/>
      <c r="H746" s="6"/>
    </row>
    <row r="747" spans="1:17" ht="8.25" customHeight="1" thickBot="1" x14ac:dyDescent="0.3">
      <c r="A747" s="55"/>
      <c r="B747" s="56"/>
      <c r="C747" s="28"/>
      <c r="D747" s="2"/>
      <c r="E747" s="2"/>
      <c r="F747" s="2"/>
      <c r="G747" s="2"/>
      <c r="H747" s="6"/>
    </row>
    <row r="751" spans="1:17" ht="18.75" customHeight="1" x14ac:dyDescent="0.25">
      <c r="A751" s="54" t="s">
        <v>49</v>
      </c>
      <c r="B751" s="65"/>
      <c r="C751" s="52" t="s">
        <v>50</v>
      </c>
      <c r="D751" s="22"/>
      <c r="E751" s="66"/>
      <c r="F751" s="66"/>
      <c r="G751" s="42"/>
      <c r="H751" s="20"/>
      <c r="I751" s="21"/>
      <c r="J751" s="17"/>
      <c r="K751" s="17"/>
      <c r="L751" s="17"/>
      <c r="M751" s="17"/>
      <c r="N751" s="17"/>
      <c r="O751" s="17"/>
      <c r="P751" s="5"/>
      <c r="Q751" s="5"/>
    </row>
    <row r="763" spans="1:8" x14ac:dyDescent="0.25">
      <c r="C763" s="2" t="s">
        <v>47</v>
      </c>
    </row>
    <row r="764" spans="1:8" x14ac:dyDescent="0.25">
      <c r="C764" s="51" t="s">
        <v>48</v>
      </c>
    </row>
    <row r="765" spans="1:8" x14ac:dyDescent="0.25">
      <c r="C765" s="50"/>
    </row>
    <row r="766" spans="1:8" ht="16.5" thickBot="1" x14ac:dyDescent="0.3"/>
    <row r="767" spans="1:8" s="14" customFormat="1" ht="16.5" thickBot="1" x14ac:dyDescent="0.3">
      <c r="A767" s="7" t="s">
        <v>40</v>
      </c>
      <c r="B767" s="8"/>
      <c r="C767" s="9" t="s">
        <v>62</v>
      </c>
      <c r="D767" s="22"/>
      <c r="E767" s="22"/>
      <c r="F767" s="22"/>
      <c r="G767" s="22"/>
      <c r="H767" s="22"/>
    </row>
    <row r="768" spans="1:8" s="14" customFormat="1" x14ac:dyDescent="0.25">
      <c r="A768" s="10" t="s">
        <v>1</v>
      </c>
      <c r="B768" s="11"/>
      <c r="C768" s="47"/>
      <c r="D768" s="22"/>
      <c r="E768" s="22"/>
      <c r="F768" s="22"/>
      <c r="G768" s="22"/>
      <c r="H768" s="22"/>
    </row>
    <row r="769" spans="1:17" s="14" customFormat="1" x14ac:dyDescent="0.25">
      <c r="A769" s="13" t="s">
        <v>63</v>
      </c>
      <c r="C769" s="15">
        <f>(1369207.32-189269.03-125924.86)/1.2+189269.03+125924.86</f>
        <v>1193538.415</v>
      </c>
      <c r="D769" s="22"/>
      <c r="E769" s="22"/>
      <c r="F769" s="22"/>
      <c r="G769" s="22"/>
      <c r="H769" s="22"/>
    </row>
    <row r="770" spans="1:17" s="14" customFormat="1" x14ac:dyDescent="0.25">
      <c r="A770" s="13" t="s">
        <v>2</v>
      </c>
      <c r="C770" s="15">
        <f>176959.44/1.2+189269.03</f>
        <v>336735.23</v>
      </c>
      <c r="D770" s="22"/>
      <c r="E770" s="22"/>
      <c r="F770" s="22"/>
      <c r="G770" s="22"/>
      <c r="H770" s="22"/>
    </row>
    <row r="771" spans="1:17" s="14" customFormat="1" x14ac:dyDescent="0.25">
      <c r="A771" s="100" t="s">
        <v>3</v>
      </c>
      <c r="B771" s="101"/>
      <c r="C771" s="16">
        <f>(1797121.38/1.2+1989081.24)</f>
        <v>3486682.3899999997</v>
      </c>
      <c r="D771" s="22"/>
      <c r="E771" s="22"/>
      <c r="F771" s="22"/>
      <c r="G771" s="22"/>
      <c r="H771" s="23"/>
    </row>
    <row r="772" spans="1:17" s="14" customFormat="1" x14ac:dyDescent="0.25">
      <c r="A772" s="100" t="s">
        <v>60</v>
      </c>
      <c r="B772" s="101"/>
      <c r="C772" s="16">
        <f>116098.08/1.2+128499.12</f>
        <v>225247.52000000002</v>
      </c>
      <c r="D772" s="22"/>
      <c r="E772" s="22"/>
      <c r="F772" s="22"/>
      <c r="G772" s="22"/>
      <c r="H772" s="22"/>
    </row>
    <row r="773" spans="1:17" s="14" customFormat="1" x14ac:dyDescent="0.25">
      <c r="A773" s="53" t="s">
        <v>6</v>
      </c>
      <c r="B773" s="54"/>
      <c r="C773" s="16">
        <f>94764/1.2</f>
        <v>78970</v>
      </c>
      <c r="D773" s="22"/>
      <c r="E773" s="22"/>
      <c r="F773" s="22"/>
      <c r="G773" s="22"/>
      <c r="H773" s="22"/>
    </row>
    <row r="774" spans="1:17" s="14" customFormat="1" ht="16.5" thickBot="1" x14ac:dyDescent="0.3">
      <c r="A774" s="53" t="s">
        <v>4</v>
      </c>
      <c r="B774" s="54"/>
      <c r="C774" s="16">
        <v>51571.63</v>
      </c>
      <c r="D774" s="22"/>
      <c r="E774" s="22"/>
      <c r="F774" s="22"/>
      <c r="G774" s="22"/>
      <c r="H774" s="22"/>
    </row>
    <row r="775" spans="1:17" s="14" customFormat="1" ht="16.5" thickBot="1" x14ac:dyDescent="0.3">
      <c r="A775" s="48" t="s">
        <v>7</v>
      </c>
      <c r="B775" s="49"/>
      <c r="C775" s="25">
        <f>SUM(C771:C774)</f>
        <v>3842471.5399999996</v>
      </c>
      <c r="D775" s="22"/>
      <c r="E775" s="22"/>
      <c r="F775" s="22"/>
      <c r="G775" s="46">
        <f>C775-C791</f>
        <v>-214158.99000000069</v>
      </c>
      <c r="H775" s="22"/>
    </row>
    <row r="776" spans="1:17" s="14" customFormat="1" x14ac:dyDescent="0.25">
      <c r="A776" s="13"/>
      <c r="B776" s="18"/>
      <c r="C776" s="19"/>
      <c r="D776" s="22"/>
      <c r="E776" s="22"/>
      <c r="F776" s="22"/>
      <c r="G776" s="22"/>
      <c r="H776" s="22"/>
    </row>
    <row r="777" spans="1:17" s="14" customFormat="1" x14ac:dyDescent="0.25">
      <c r="A777" s="108" t="s">
        <v>8</v>
      </c>
      <c r="B777" s="109"/>
      <c r="C777" s="12"/>
      <c r="D777" s="22"/>
      <c r="E777" s="22"/>
      <c r="F777" s="22"/>
      <c r="G777" s="22"/>
      <c r="H777" s="22"/>
    </row>
    <row r="778" spans="1:17" ht="15" customHeight="1" x14ac:dyDescent="0.25">
      <c r="A778" s="102" t="s">
        <v>9</v>
      </c>
      <c r="B778" s="103"/>
      <c r="C778" s="16">
        <f>508181.25+3997.56</f>
        <v>512178.81</v>
      </c>
      <c r="D778" s="22"/>
      <c r="E778" s="22"/>
      <c r="F778" s="22"/>
      <c r="H778" s="20"/>
      <c r="I778" s="21"/>
      <c r="J778" s="17"/>
      <c r="K778" s="17"/>
      <c r="L778" s="17"/>
      <c r="M778" s="17"/>
      <c r="N778" s="17"/>
      <c r="O778" s="17"/>
      <c r="P778" s="5"/>
      <c r="Q778" s="5"/>
    </row>
    <row r="779" spans="1:17" ht="15" customHeight="1" x14ac:dyDescent="0.25">
      <c r="A779" s="53" t="s">
        <v>10</v>
      </c>
      <c r="B779" s="54"/>
      <c r="C779" s="16">
        <v>8789.09</v>
      </c>
      <c r="D779" s="22"/>
      <c r="E779" s="22"/>
      <c r="F779" s="22"/>
      <c r="H779" s="20"/>
      <c r="I779" s="21"/>
      <c r="J779" s="17"/>
      <c r="K779" s="17"/>
      <c r="L779" s="17"/>
      <c r="M779" s="17"/>
      <c r="N779" s="17"/>
      <c r="O779" s="17"/>
      <c r="P779" s="5"/>
      <c r="Q779" s="5"/>
    </row>
    <row r="780" spans="1:17" ht="15" customHeight="1" x14ac:dyDescent="0.25">
      <c r="A780" s="53" t="s">
        <v>11</v>
      </c>
      <c r="B780" s="54"/>
      <c r="C780" s="16">
        <v>4831.5</v>
      </c>
      <c r="D780" s="22"/>
      <c r="E780" s="22"/>
      <c r="F780" s="22"/>
      <c r="H780" s="20"/>
      <c r="I780" s="21"/>
      <c r="J780" s="17"/>
      <c r="K780" s="17"/>
      <c r="L780" s="17"/>
      <c r="M780" s="17"/>
      <c r="N780" s="17"/>
      <c r="O780" s="17"/>
      <c r="P780" s="5"/>
      <c r="Q780" s="5"/>
    </row>
    <row r="781" spans="1:17" ht="15" customHeight="1" x14ac:dyDescent="0.25">
      <c r="A781" s="53" t="s">
        <v>13</v>
      </c>
      <c r="B781" s="54"/>
      <c r="C781" s="16">
        <v>68284.56</v>
      </c>
      <c r="D781" s="22"/>
      <c r="E781" s="22"/>
      <c r="F781" s="22"/>
      <c r="H781" s="20"/>
      <c r="I781" s="21"/>
      <c r="J781" s="17"/>
      <c r="K781" s="17"/>
      <c r="L781" s="17"/>
      <c r="M781" s="17"/>
      <c r="N781" s="17"/>
      <c r="O781" s="17"/>
      <c r="P781" s="5"/>
      <c r="Q781" s="5"/>
    </row>
    <row r="782" spans="1:17" ht="15" customHeight="1" x14ac:dyDescent="0.25">
      <c r="A782" s="100" t="s">
        <v>14</v>
      </c>
      <c r="B782" s="101"/>
      <c r="C782" s="16">
        <v>690815.16</v>
      </c>
      <c r="D782" s="22"/>
      <c r="E782" s="22"/>
      <c r="F782" s="22"/>
      <c r="H782" s="20"/>
      <c r="I782" s="21"/>
      <c r="J782" s="17"/>
      <c r="K782" s="17"/>
      <c r="L782" s="17"/>
      <c r="M782" s="17"/>
      <c r="N782" s="17"/>
      <c r="O782" s="17"/>
      <c r="P782" s="5"/>
      <c r="Q782" s="5"/>
    </row>
    <row r="783" spans="1:17" ht="15" customHeight="1" x14ac:dyDescent="0.25">
      <c r="A783" s="100" t="s">
        <v>12</v>
      </c>
      <c r="B783" s="101"/>
      <c r="C783" s="16">
        <v>309177.48</v>
      </c>
      <c r="D783" s="22"/>
      <c r="E783" s="22"/>
      <c r="F783" s="22"/>
      <c r="H783" s="20"/>
      <c r="I783" s="21"/>
      <c r="J783" s="17"/>
      <c r="K783" s="17"/>
      <c r="L783" s="17"/>
      <c r="M783" s="17"/>
      <c r="N783" s="17"/>
      <c r="O783" s="17"/>
      <c r="P783" s="5"/>
      <c r="Q783" s="5"/>
    </row>
    <row r="784" spans="1:17" ht="30" customHeight="1" x14ac:dyDescent="0.25">
      <c r="A784" s="112" t="s">
        <v>55</v>
      </c>
      <c r="B784" s="113"/>
      <c r="C784" s="82">
        <v>36358.68</v>
      </c>
      <c r="D784" s="22"/>
      <c r="E784" s="22"/>
      <c r="F784" s="22"/>
      <c r="H784" s="20"/>
      <c r="I784" s="21"/>
      <c r="J784" s="17"/>
      <c r="K784" s="17"/>
      <c r="L784" s="17"/>
      <c r="M784" s="17"/>
      <c r="N784" s="17"/>
      <c r="O784" s="17"/>
      <c r="P784" s="5"/>
      <c r="Q784" s="5"/>
    </row>
    <row r="785" spans="1:17" ht="15" customHeight="1" x14ac:dyDescent="0.25">
      <c r="A785" s="57" t="s">
        <v>19</v>
      </c>
      <c r="B785" s="58"/>
      <c r="C785" s="16">
        <v>18245.64</v>
      </c>
      <c r="D785" s="22"/>
      <c r="E785" s="22"/>
      <c r="F785" s="22"/>
      <c r="H785" s="20"/>
      <c r="I785" s="21"/>
      <c r="J785" s="17"/>
      <c r="K785" s="17"/>
      <c r="L785" s="17"/>
      <c r="M785" s="17"/>
      <c r="N785" s="17"/>
      <c r="O785" s="17"/>
      <c r="P785" s="5"/>
      <c r="Q785" s="5"/>
    </row>
    <row r="786" spans="1:17" ht="15" customHeight="1" x14ac:dyDescent="0.25">
      <c r="A786" s="104" t="s">
        <v>15</v>
      </c>
      <c r="B786" s="105"/>
      <c r="C786" s="16">
        <v>992968.44</v>
      </c>
      <c r="D786" s="22"/>
      <c r="E786" s="22"/>
      <c r="F786" s="22"/>
      <c r="H786" s="20"/>
      <c r="I786" s="21"/>
      <c r="J786" s="17"/>
      <c r="K786" s="17"/>
      <c r="L786" s="17"/>
      <c r="M786" s="17"/>
      <c r="N786" s="17"/>
      <c r="O786" s="17"/>
      <c r="P786" s="5"/>
      <c r="Q786" s="5"/>
    </row>
    <row r="787" spans="1:17" ht="15" customHeight="1" x14ac:dyDescent="0.25">
      <c r="A787" s="92" t="s">
        <v>30</v>
      </c>
      <c r="B787" s="93"/>
      <c r="C787" s="16">
        <v>16394</v>
      </c>
      <c r="D787" s="22"/>
      <c r="E787" s="22"/>
      <c r="F787" s="22"/>
      <c r="H787" s="20"/>
      <c r="I787" s="21"/>
      <c r="J787" s="17"/>
      <c r="K787" s="17"/>
      <c r="L787" s="17"/>
      <c r="M787" s="17"/>
      <c r="N787" s="17"/>
      <c r="O787" s="17"/>
      <c r="P787" s="5"/>
      <c r="Q787" s="5"/>
    </row>
    <row r="788" spans="1:17" ht="15" customHeight="1" x14ac:dyDescent="0.25">
      <c r="A788" s="77" t="s">
        <v>58</v>
      </c>
      <c r="B788" s="78"/>
      <c r="C788" s="16">
        <v>18148.29</v>
      </c>
      <c r="D788" s="22"/>
      <c r="E788" s="22"/>
      <c r="F788" s="22"/>
      <c r="H788" s="20"/>
      <c r="I788" s="21"/>
      <c r="J788" s="17"/>
      <c r="K788" s="17"/>
      <c r="L788" s="17"/>
      <c r="M788" s="17"/>
      <c r="N788" s="17"/>
      <c r="O788" s="17"/>
      <c r="P788" s="5"/>
      <c r="Q788" s="5"/>
    </row>
    <row r="789" spans="1:17" ht="15" customHeight="1" x14ac:dyDescent="0.25">
      <c r="A789" s="53" t="s">
        <v>16</v>
      </c>
      <c r="B789" s="54"/>
      <c r="C789" s="16">
        <v>433846.62</v>
      </c>
      <c r="D789" s="22"/>
      <c r="E789" s="22"/>
      <c r="F789" s="22"/>
      <c r="H789" s="20"/>
      <c r="I789" s="21"/>
      <c r="J789" s="17"/>
      <c r="K789" s="17"/>
      <c r="L789" s="17"/>
      <c r="M789" s="17"/>
      <c r="N789" s="17"/>
      <c r="O789" s="17"/>
      <c r="P789" s="5"/>
      <c r="Q789" s="5"/>
    </row>
    <row r="790" spans="1:17" ht="15" customHeight="1" thickBot="1" x14ac:dyDescent="0.3">
      <c r="A790" s="100" t="s">
        <v>17</v>
      </c>
      <c r="B790" s="101"/>
      <c r="C790" s="16">
        <v>946592.26</v>
      </c>
      <c r="D790" s="22"/>
      <c r="E790" s="22"/>
      <c r="F790" s="22"/>
      <c r="H790" s="20"/>
      <c r="I790" s="21"/>
      <c r="J790" s="17"/>
      <c r="K790" s="17"/>
      <c r="L790" s="17"/>
      <c r="M790" s="17"/>
      <c r="N790" s="17"/>
      <c r="O790" s="17"/>
      <c r="P790" s="5"/>
      <c r="Q790" s="5"/>
    </row>
    <row r="791" spans="1:17" ht="16.5" thickBot="1" x14ac:dyDescent="0.3">
      <c r="A791" s="118" t="s">
        <v>32</v>
      </c>
      <c r="B791" s="119"/>
      <c r="C791" s="25">
        <f>SUM(C778:C790)</f>
        <v>4056630.5300000003</v>
      </c>
      <c r="D791" s="2"/>
      <c r="E791" s="2"/>
      <c r="F791" s="2"/>
      <c r="G791" s="2"/>
      <c r="H791" s="6"/>
    </row>
    <row r="796" spans="1:17" ht="18.75" customHeight="1" x14ac:dyDescent="0.25">
      <c r="A796" s="54" t="s">
        <v>49</v>
      </c>
      <c r="B796" s="65"/>
      <c r="C796" s="52" t="s">
        <v>50</v>
      </c>
      <c r="D796" s="22"/>
      <c r="E796" s="66"/>
      <c r="F796" s="66"/>
      <c r="G796" s="42"/>
      <c r="H796" s="20"/>
      <c r="I796" s="21"/>
      <c r="J796" s="17"/>
      <c r="K796" s="17"/>
      <c r="L796" s="17"/>
      <c r="M796" s="17"/>
      <c r="N796" s="17"/>
      <c r="O796" s="17"/>
      <c r="P796" s="5"/>
      <c r="Q796" s="5"/>
    </row>
    <row r="810" spans="1:8" x14ac:dyDescent="0.25">
      <c r="C810" s="2" t="s">
        <v>47</v>
      </c>
    </row>
    <row r="811" spans="1:8" x14ac:dyDescent="0.25">
      <c r="C811" s="51" t="s">
        <v>48</v>
      </c>
    </row>
    <row r="812" spans="1:8" x14ac:dyDescent="0.25">
      <c r="C812" s="50"/>
    </row>
    <row r="813" spans="1:8" ht="16.5" thickBot="1" x14ac:dyDescent="0.3"/>
    <row r="814" spans="1:8" s="14" customFormat="1" ht="16.5" thickBot="1" x14ac:dyDescent="0.3">
      <c r="A814" s="7" t="s">
        <v>41</v>
      </c>
      <c r="B814" s="8"/>
      <c r="C814" s="9" t="s">
        <v>62</v>
      </c>
      <c r="D814" s="22"/>
      <c r="E814" s="22"/>
      <c r="F814" s="22"/>
      <c r="G814" s="22"/>
      <c r="H814" s="22"/>
    </row>
    <row r="815" spans="1:8" s="14" customFormat="1" x14ac:dyDescent="0.25">
      <c r="A815" s="10" t="s">
        <v>1</v>
      </c>
      <c r="B815" s="11"/>
      <c r="C815" s="12"/>
      <c r="D815" s="22"/>
      <c r="E815" s="22"/>
      <c r="F815" s="22"/>
      <c r="G815" s="22"/>
      <c r="H815" s="22"/>
    </row>
    <row r="816" spans="1:8" s="14" customFormat="1" x14ac:dyDescent="0.25">
      <c r="A816" s="13" t="s">
        <v>63</v>
      </c>
      <c r="C816" s="15">
        <f>(880336.81-159250.75-49683.96)/1.2+159250.75+49683.96</f>
        <v>768436.46000000008</v>
      </c>
      <c r="D816" s="22"/>
      <c r="E816" s="22"/>
      <c r="F816" s="22"/>
      <c r="G816" s="22"/>
      <c r="H816" s="22"/>
    </row>
    <row r="817" spans="1:17" s="14" customFormat="1" x14ac:dyDescent="0.25">
      <c r="A817" s="13" t="s">
        <v>2</v>
      </c>
      <c r="C817" s="15">
        <f>147247.16/1.2+159250.75</f>
        <v>281956.71666666667</v>
      </c>
      <c r="D817" s="22"/>
      <c r="E817" s="22"/>
      <c r="F817" s="22"/>
      <c r="G817" s="22"/>
      <c r="H817" s="22"/>
    </row>
    <row r="818" spans="1:17" s="14" customFormat="1" x14ac:dyDescent="0.25">
      <c r="A818" s="100" t="s">
        <v>3</v>
      </c>
      <c r="B818" s="101"/>
      <c r="C818" s="16">
        <f>1168049.16/1.2+1292814.72</f>
        <v>2266189.02</v>
      </c>
      <c r="D818" s="22"/>
      <c r="E818" s="22"/>
      <c r="F818" s="22"/>
      <c r="G818" s="22"/>
      <c r="H818" s="23"/>
    </row>
    <row r="819" spans="1:17" s="14" customFormat="1" x14ac:dyDescent="0.25">
      <c r="A819" s="100" t="s">
        <v>60</v>
      </c>
      <c r="B819" s="101"/>
      <c r="C819" s="16">
        <f>371935.02/1.2+411643.86</f>
        <v>721589.71</v>
      </c>
      <c r="D819" s="22"/>
      <c r="E819" s="22"/>
      <c r="F819" s="22"/>
      <c r="G819" s="22"/>
      <c r="H819" s="22"/>
    </row>
    <row r="820" spans="1:17" s="14" customFormat="1" x14ac:dyDescent="0.25">
      <c r="A820" s="53" t="s">
        <v>42</v>
      </c>
      <c r="B820" s="54"/>
      <c r="C820" s="16">
        <v>34200</v>
      </c>
      <c r="D820" s="22"/>
      <c r="E820" s="22"/>
      <c r="F820" s="22"/>
      <c r="G820" s="22"/>
      <c r="H820" s="22"/>
    </row>
    <row r="821" spans="1:17" s="14" customFormat="1" x14ac:dyDescent="0.25">
      <c r="A821" s="53" t="s">
        <v>6</v>
      </c>
      <c r="B821" s="54"/>
      <c r="C821" s="16">
        <f>60420/1.2</f>
        <v>50350</v>
      </c>
      <c r="D821" s="22"/>
      <c r="E821" s="22"/>
      <c r="F821" s="22"/>
      <c r="G821" s="22"/>
      <c r="H821" s="22"/>
    </row>
    <row r="822" spans="1:17" s="14" customFormat="1" x14ac:dyDescent="0.25">
      <c r="A822" s="53" t="s">
        <v>4</v>
      </c>
      <c r="B822" s="54"/>
      <c r="C822" s="16">
        <v>42650</v>
      </c>
      <c r="D822" s="22"/>
      <c r="E822" s="22"/>
      <c r="F822" s="22"/>
      <c r="G822" s="22"/>
      <c r="H822" s="22"/>
    </row>
    <row r="823" spans="1:17" s="14" customFormat="1" x14ac:dyDescent="0.25">
      <c r="A823" s="13" t="s">
        <v>7</v>
      </c>
      <c r="B823" s="18"/>
      <c r="C823" s="19">
        <f>SUM(C818:C822)</f>
        <v>3114978.73</v>
      </c>
      <c r="D823" s="22"/>
      <c r="E823" s="22"/>
      <c r="F823" s="22"/>
      <c r="G823" s="22">
        <f>C823-C840</f>
        <v>56584.180000000168</v>
      </c>
      <c r="H823" s="22"/>
    </row>
    <row r="824" spans="1:17" s="14" customFormat="1" x14ac:dyDescent="0.25">
      <c r="A824" s="13"/>
      <c r="B824" s="18"/>
      <c r="C824" s="19"/>
      <c r="D824" s="22"/>
      <c r="E824" s="22"/>
      <c r="F824" s="22"/>
      <c r="G824" s="22"/>
      <c r="H824" s="22"/>
    </row>
    <row r="825" spans="1:17" s="14" customFormat="1" x14ac:dyDescent="0.25">
      <c r="A825" s="108" t="s">
        <v>8</v>
      </c>
      <c r="B825" s="109"/>
      <c r="C825" s="12"/>
      <c r="D825" s="22"/>
      <c r="E825" s="22"/>
      <c r="F825" s="22"/>
      <c r="G825" s="22"/>
      <c r="H825" s="22"/>
    </row>
    <row r="826" spans="1:17" ht="15" customHeight="1" x14ac:dyDescent="0.25">
      <c r="A826" s="102" t="s">
        <v>9</v>
      </c>
      <c r="B826" s="103"/>
      <c r="C826" s="16">
        <f>317470.55+5432.17</f>
        <v>322902.71999999997</v>
      </c>
      <c r="D826" s="22"/>
      <c r="E826" s="22"/>
      <c r="F826" s="22"/>
      <c r="H826" s="20"/>
      <c r="I826" s="21"/>
      <c r="J826" s="17"/>
      <c r="K826" s="17"/>
      <c r="L826" s="17"/>
      <c r="M826" s="17"/>
      <c r="N826" s="17"/>
      <c r="O826" s="17"/>
      <c r="P826" s="5"/>
      <c r="Q826" s="5"/>
    </row>
    <row r="827" spans="1:17" ht="15" customHeight="1" x14ac:dyDescent="0.25">
      <c r="A827" s="75" t="s">
        <v>10</v>
      </c>
      <c r="B827" s="76"/>
      <c r="C827" s="16">
        <v>10249.540000000001</v>
      </c>
      <c r="D827" s="22"/>
      <c r="E827" s="22"/>
      <c r="F827" s="22"/>
      <c r="H827" s="20"/>
      <c r="I827" s="21"/>
      <c r="J827" s="17"/>
      <c r="K827" s="17"/>
      <c r="L827" s="17"/>
      <c r="M827" s="17"/>
      <c r="N827" s="17"/>
      <c r="O827" s="17"/>
      <c r="P827" s="5"/>
      <c r="Q827" s="5"/>
    </row>
    <row r="828" spans="1:17" ht="15" customHeight="1" x14ac:dyDescent="0.25">
      <c r="A828" s="53" t="s">
        <v>11</v>
      </c>
      <c r="B828" s="54"/>
      <c r="C828" s="16">
        <v>4831.5</v>
      </c>
      <c r="D828" s="22"/>
      <c r="E828" s="22"/>
      <c r="F828" s="22"/>
      <c r="H828" s="20"/>
      <c r="I828" s="21"/>
      <c r="J828" s="17"/>
      <c r="K828" s="17"/>
      <c r="L828" s="17"/>
      <c r="M828" s="17"/>
      <c r="N828" s="17"/>
      <c r="O828" s="17"/>
      <c r="P828" s="5"/>
      <c r="Q828" s="5"/>
    </row>
    <row r="829" spans="1:17" ht="15" customHeight="1" x14ac:dyDescent="0.25">
      <c r="A829" s="53" t="s">
        <v>13</v>
      </c>
      <c r="B829" s="54"/>
      <c r="C829" s="16">
        <v>44397.120000000003</v>
      </c>
      <c r="D829" s="22"/>
      <c r="E829" s="22"/>
      <c r="F829" s="22"/>
      <c r="H829" s="20"/>
      <c r="I829" s="21"/>
      <c r="J829" s="17"/>
      <c r="K829" s="17"/>
      <c r="L829" s="17"/>
      <c r="M829" s="17"/>
      <c r="N829" s="17"/>
      <c r="O829" s="17"/>
      <c r="P829" s="5"/>
      <c r="Q829" s="5"/>
    </row>
    <row r="830" spans="1:17" ht="15" customHeight="1" x14ac:dyDescent="0.25">
      <c r="A830" s="100" t="s">
        <v>14</v>
      </c>
      <c r="B830" s="101"/>
      <c r="C830" s="16">
        <v>565623.6</v>
      </c>
      <c r="D830" s="22"/>
      <c r="E830" s="22"/>
      <c r="F830" s="22"/>
      <c r="H830" s="20"/>
      <c r="I830" s="21"/>
      <c r="J830" s="17"/>
      <c r="K830" s="17"/>
      <c r="L830" s="17"/>
      <c r="M830" s="17"/>
      <c r="N830" s="17"/>
      <c r="O830" s="17"/>
      <c r="P830" s="5"/>
      <c r="Q830" s="5"/>
    </row>
    <row r="831" spans="1:17" ht="15" customHeight="1" x14ac:dyDescent="0.25">
      <c r="A831" s="100" t="s">
        <v>12</v>
      </c>
      <c r="B831" s="101"/>
      <c r="C831" s="16">
        <v>252537.72</v>
      </c>
      <c r="D831" s="22"/>
      <c r="E831" s="22"/>
      <c r="F831" s="22"/>
      <c r="H831" s="20"/>
      <c r="I831" s="21"/>
      <c r="J831" s="17"/>
      <c r="K831" s="17"/>
      <c r="L831" s="17"/>
      <c r="M831" s="17"/>
      <c r="N831" s="17"/>
      <c r="O831" s="17"/>
      <c r="P831" s="5"/>
      <c r="Q831" s="5"/>
    </row>
    <row r="832" spans="1:17" ht="30.75" customHeight="1" x14ac:dyDescent="0.25">
      <c r="A832" s="112" t="s">
        <v>55</v>
      </c>
      <c r="B832" s="113"/>
      <c r="C832" s="82">
        <v>29769.72</v>
      </c>
      <c r="D832" s="22"/>
      <c r="E832" s="22"/>
      <c r="F832" s="22"/>
      <c r="H832" s="20"/>
      <c r="I832" s="21"/>
      <c r="J832" s="17"/>
      <c r="K832" s="17"/>
      <c r="L832" s="17"/>
      <c r="M832" s="17"/>
      <c r="N832" s="17"/>
      <c r="O832" s="17"/>
      <c r="P832" s="5"/>
      <c r="Q832" s="5"/>
    </row>
    <row r="833" spans="1:17" ht="15" customHeight="1" x14ac:dyDescent="0.25">
      <c r="A833" s="57" t="s">
        <v>19</v>
      </c>
      <c r="B833" s="58"/>
      <c r="C833" s="16">
        <v>13831.32</v>
      </c>
      <c r="D833" s="22"/>
      <c r="E833" s="22"/>
      <c r="F833" s="22"/>
      <c r="H833" s="20"/>
      <c r="I833" s="21"/>
      <c r="J833" s="17"/>
      <c r="K833" s="17"/>
      <c r="L833" s="17"/>
      <c r="M833" s="17"/>
      <c r="N833" s="17"/>
      <c r="O833" s="17"/>
      <c r="P833" s="5"/>
      <c r="Q833" s="5"/>
    </row>
    <row r="834" spans="1:17" ht="15" customHeight="1" x14ac:dyDescent="0.25">
      <c r="A834" s="104" t="s">
        <v>15</v>
      </c>
      <c r="B834" s="105"/>
      <c r="C834" s="16">
        <v>813019.68</v>
      </c>
      <c r="D834" s="22"/>
      <c r="E834" s="22"/>
      <c r="F834" s="22"/>
      <c r="H834" s="20"/>
      <c r="I834" s="21"/>
      <c r="J834" s="17"/>
      <c r="K834" s="17"/>
      <c r="L834" s="17"/>
      <c r="M834" s="17"/>
      <c r="N834" s="17"/>
      <c r="O834" s="17"/>
      <c r="P834" s="5"/>
      <c r="Q834" s="5"/>
    </row>
    <row r="835" spans="1:17" ht="15" customHeight="1" x14ac:dyDescent="0.25">
      <c r="A835" s="77" t="s">
        <v>30</v>
      </c>
      <c r="B835" s="78"/>
      <c r="C835" s="16">
        <v>36682</v>
      </c>
      <c r="D835" s="22"/>
      <c r="E835" s="22"/>
      <c r="F835" s="22"/>
      <c r="H835" s="20"/>
      <c r="I835" s="21"/>
      <c r="J835" s="17"/>
      <c r="K835" s="17"/>
      <c r="L835" s="17"/>
      <c r="M835" s="17"/>
      <c r="N835" s="17"/>
      <c r="O835" s="17"/>
      <c r="P835" s="5"/>
      <c r="Q835" s="5"/>
    </row>
    <row r="836" spans="1:17" ht="15" customHeight="1" x14ac:dyDescent="0.25">
      <c r="A836" s="92" t="s">
        <v>65</v>
      </c>
      <c r="B836" s="93"/>
      <c r="C836" s="16">
        <v>587261.65</v>
      </c>
      <c r="D836" s="22"/>
      <c r="E836" s="22"/>
      <c r="F836" s="22"/>
      <c r="H836" s="20"/>
      <c r="I836" s="21"/>
      <c r="J836" s="17"/>
      <c r="K836" s="17"/>
      <c r="L836" s="17"/>
      <c r="M836" s="17"/>
      <c r="N836" s="17"/>
      <c r="O836" s="17"/>
      <c r="P836" s="5"/>
      <c r="Q836" s="5"/>
    </row>
    <row r="837" spans="1:17" ht="15" customHeight="1" x14ac:dyDescent="0.25">
      <c r="A837" s="53" t="s">
        <v>16</v>
      </c>
      <c r="B837" s="54"/>
      <c r="C837" s="16">
        <v>355195.32</v>
      </c>
      <c r="D837" s="22"/>
      <c r="E837" s="22"/>
      <c r="F837" s="22"/>
      <c r="H837" s="20"/>
      <c r="I837" s="21"/>
      <c r="J837" s="17"/>
      <c r="K837" s="17"/>
      <c r="L837" s="17"/>
      <c r="M837" s="17"/>
      <c r="N837" s="17"/>
      <c r="O837" s="17"/>
      <c r="P837" s="5"/>
      <c r="Q837" s="5"/>
    </row>
    <row r="838" spans="1:17" ht="15" customHeight="1" x14ac:dyDescent="0.25">
      <c r="A838" s="53" t="s">
        <v>39</v>
      </c>
      <c r="B838" s="54"/>
      <c r="C838" s="16">
        <v>18000</v>
      </c>
      <c r="D838" s="22"/>
      <c r="E838" s="22"/>
      <c r="F838" s="22"/>
      <c r="H838" s="20"/>
      <c r="I838" s="21"/>
      <c r="J838" s="17"/>
      <c r="K838" s="17"/>
      <c r="L838" s="17"/>
      <c r="M838" s="17"/>
      <c r="N838" s="17"/>
      <c r="O838" s="17"/>
      <c r="P838" s="5"/>
      <c r="Q838" s="5"/>
    </row>
    <row r="839" spans="1:17" ht="15" customHeight="1" thickBot="1" x14ac:dyDescent="0.3">
      <c r="A839" s="110" t="s">
        <v>17</v>
      </c>
      <c r="B839" s="111"/>
      <c r="C839" s="24">
        <v>591354.31000000006</v>
      </c>
      <c r="D839" s="22"/>
      <c r="E839" s="22"/>
      <c r="F839" s="22"/>
      <c r="H839" s="20"/>
      <c r="I839" s="21"/>
      <c r="J839" s="17"/>
      <c r="K839" s="17"/>
      <c r="L839" s="17"/>
      <c r="M839" s="17"/>
      <c r="N839" s="17"/>
      <c r="O839" s="17"/>
      <c r="P839" s="5"/>
      <c r="Q839" s="5"/>
    </row>
    <row r="840" spans="1:17" ht="15" customHeight="1" thickBot="1" x14ac:dyDescent="0.3">
      <c r="A840" s="106" t="s">
        <v>7</v>
      </c>
      <c r="B840" s="107"/>
      <c r="C840" s="28">
        <f>SUM(C826:C839)-C836</f>
        <v>3058394.55</v>
      </c>
      <c r="D840" s="22"/>
      <c r="E840" s="22"/>
      <c r="F840" s="22"/>
      <c r="H840" s="20"/>
      <c r="I840" s="21"/>
      <c r="J840" s="17"/>
      <c r="K840" s="17"/>
      <c r="L840" s="17"/>
      <c r="M840" s="17"/>
      <c r="N840" s="17"/>
      <c r="O840" s="17"/>
      <c r="P840" s="5"/>
      <c r="Q840" s="5"/>
    </row>
    <row r="841" spans="1:17" ht="6.75" customHeight="1" thickBot="1" x14ac:dyDescent="0.3">
      <c r="A841" s="55"/>
      <c r="B841" s="56"/>
      <c r="C841" s="28"/>
      <c r="D841" s="22"/>
      <c r="E841" s="22"/>
      <c r="F841" s="22"/>
      <c r="H841" s="20"/>
      <c r="I841" s="21"/>
      <c r="J841" s="17"/>
      <c r="K841" s="17"/>
      <c r="L841" s="17"/>
      <c r="M841" s="17"/>
      <c r="N841" s="17"/>
      <c r="O841" s="17"/>
      <c r="P841" s="5"/>
      <c r="Q841" s="5"/>
    </row>
    <row r="845" spans="1:17" ht="18.75" customHeight="1" x14ac:dyDescent="0.25">
      <c r="A845" s="54" t="s">
        <v>49</v>
      </c>
      <c r="B845" s="65"/>
      <c r="C845" s="52" t="s">
        <v>50</v>
      </c>
      <c r="D845" s="22"/>
      <c r="E845" s="66"/>
      <c r="F845" s="66"/>
      <c r="G845" s="42"/>
      <c r="H845" s="20"/>
      <c r="I845" s="21"/>
      <c r="J845" s="17"/>
      <c r="K845" s="17"/>
      <c r="L845" s="17"/>
      <c r="M845" s="17"/>
      <c r="N845" s="17"/>
      <c r="O845" s="17"/>
      <c r="P845" s="5"/>
      <c r="Q845" s="5"/>
    </row>
    <row r="858" spans="1:8" x14ac:dyDescent="0.25">
      <c r="C858" s="2" t="s">
        <v>47</v>
      </c>
    </row>
    <row r="859" spans="1:8" x14ac:dyDescent="0.25">
      <c r="C859" s="51" t="s">
        <v>48</v>
      </c>
    </row>
    <row r="860" spans="1:8" x14ac:dyDescent="0.25">
      <c r="C860" s="50"/>
    </row>
    <row r="861" spans="1:8" ht="16.5" thickBot="1" x14ac:dyDescent="0.3"/>
    <row r="862" spans="1:8" s="14" customFormat="1" ht="16.5" thickBot="1" x14ac:dyDescent="0.3">
      <c r="A862" s="7" t="s">
        <v>43</v>
      </c>
      <c r="B862" s="8"/>
      <c r="C862" s="9" t="s">
        <v>62</v>
      </c>
      <c r="D862" s="22"/>
      <c r="E862" s="22"/>
      <c r="F862" s="22"/>
      <c r="G862" s="22"/>
      <c r="H862" s="22"/>
    </row>
    <row r="863" spans="1:8" s="14" customFormat="1" x14ac:dyDescent="0.25">
      <c r="A863" s="10" t="s">
        <v>1</v>
      </c>
      <c r="B863" s="11"/>
      <c r="C863" s="12"/>
      <c r="D863" s="22"/>
      <c r="E863" s="22"/>
      <c r="F863" s="22"/>
      <c r="G863" s="22"/>
      <c r="H863" s="22"/>
    </row>
    <row r="864" spans="1:8" s="14" customFormat="1" x14ac:dyDescent="0.25">
      <c r="A864" s="13" t="s">
        <v>63</v>
      </c>
      <c r="C864" s="15">
        <f>(1403947.36-246780.57-57267.05)/1.2+246780.57+57267.05</f>
        <v>1220630.7366666668</v>
      </c>
      <c r="D864" s="22"/>
      <c r="E864" s="22"/>
      <c r="F864" s="22"/>
      <c r="G864" s="22"/>
      <c r="H864" s="22"/>
    </row>
    <row r="865" spans="1:17" s="14" customFormat="1" x14ac:dyDescent="0.25">
      <c r="A865" s="13" t="s">
        <v>2</v>
      </c>
      <c r="C865" s="15">
        <f>229286.79/1.2+246780.57</f>
        <v>437852.89500000002</v>
      </c>
      <c r="D865" s="22"/>
      <c r="E865" s="22"/>
      <c r="F865" s="22"/>
      <c r="G865" s="22"/>
      <c r="H865" s="22"/>
    </row>
    <row r="866" spans="1:17" s="14" customFormat="1" x14ac:dyDescent="0.25">
      <c r="A866" s="100" t="s">
        <v>3</v>
      </c>
      <c r="B866" s="101"/>
      <c r="C866" s="16">
        <f>1775760.24+1604387.88/1.2</f>
        <v>3112750.1399999997</v>
      </c>
      <c r="D866" s="22"/>
      <c r="E866" s="22"/>
      <c r="F866" s="22"/>
      <c r="G866" s="22"/>
      <c r="H866" s="23"/>
    </row>
    <row r="867" spans="1:17" s="14" customFormat="1" x14ac:dyDescent="0.25">
      <c r="A867" s="53" t="s">
        <v>44</v>
      </c>
      <c r="B867" s="54"/>
      <c r="C867" s="16">
        <f>50760</f>
        <v>50760</v>
      </c>
      <c r="D867" s="22"/>
      <c r="E867" s="22"/>
      <c r="F867" s="22"/>
      <c r="G867" s="22"/>
      <c r="H867" s="23"/>
    </row>
    <row r="868" spans="1:17" s="14" customFormat="1" x14ac:dyDescent="0.25">
      <c r="A868" s="100" t="s">
        <v>60</v>
      </c>
      <c r="B868" s="101"/>
      <c r="C868" s="16">
        <f>276577.14+249885.54/1.2</f>
        <v>484815.09</v>
      </c>
      <c r="D868" s="22"/>
      <c r="E868" s="22"/>
      <c r="F868" s="22"/>
      <c r="G868" s="22"/>
      <c r="H868" s="22"/>
    </row>
    <row r="869" spans="1:17" s="14" customFormat="1" x14ac:dyDescent="0.25">
      <c r="A869" s="53" t="s">
        <v>6</v>
      </c>
      <c r="B869" s="54"/>
      <c r="C869" s="16">
        <f>89040/1.2</f>
        <v>74200</v>
      </c>
      <c r="D869" s="22"/>
      <c r="E869" s="22"/>
      <c r="F869" s="22"/>
      <c r="G869" s="22"/>
      <c r="H869" s="22"/>
    </row>
    <row r="870" spans="1:17" s="14" customFormat="1" x14ac:dyDescent="0.25">
      <c r="A870" s="53" t="s">
        <v>4</v>
      </c>
      <c r="B870" s="54"/>
      <c r="C870" s="16">
        <v>33950</v>
      </c>
      <c r="D870" s="22"/>
      <c r="E870" s="22"/>
      <c r="F870" s="22"/>
      <c r="G870" s="22"/>
      <c r="H870" s="22"/>
    </row>
    <row r="871" spans="1:17" s="14" customFormat="1" x14ac:dyDescent="0.25">
      <c r="A871" s="13" t="s">
        <v>7</v>
      </c>
      <c r="B871" s="18"/>
      <c r="C871" s="19">
        <f>SUM(C866:C870)</f>
        <v>3756475.2299999995</v>
      </c>
      <c r="D871" s="22"/>
      <c r="E871" s="22"/>
      <c r="F871" s="22"/>
      <c r="G871" s="22">
        <f>C871-C887</f>
        <v>-21343.783333333209</v>
      </c>
      <c r="H871" s="22"/>
    </row>
    <row r="872" spans="1:17" s="14" customFormat="1" x14ac:dyDescent="0.25">
      <c r="A872" s="13"/>
      <c r="B872" s="18"/>
      <c r="C872" s="19"/>
      <c r="D872" s="22"/>
      <c r="E872" s="22"/>
      <c r="F872" s="22"/>
      <c r="G872" s="22"/>
      <c r="H872" s="22"/>
    </row>
    <row r="873" spans="1:17" s="14" customFormat="1" x14ac:dyDescent="0.25">
      <c r="A873" s="108" t="s">
        <v>8</v>
      </c>
      <c r="B873" s="109"/>
      <c r="C873" s="12"/>
      <c r="D873" s="22"/>
      <c r="E873" s="22"/>
      <c r="F873" s="22"/>
      <c r="G873" s="22"/>
      <c r="H873" s="22"/>
    </row>
    <row r="874" spans="1:17" ht="15" customHeight="1" x14ac:dyDescent="0.25">
      <c r="A874" s="102" t="s">
        <v>9</v>
      </c>
      <c r="B874" s="103"/>
      <c r="C874" s="16">
        <f>438259.01+4252.55</f>
        <v>442511.56</v>
      </c>
      <c r="D874" s="22"/>
      <c r="E874" s="22"/>
      <c r="F874" s="22"/>
      <c r="H874" s="20"/>
      <c r="I874" s="21"/>
      <c r="J874" s="17"/>
      <c r="K874" s="17"/>
      <c r="L874" s="17"/>
      <c r="M874" s="17"/>
      <c r="N874" s="17"/>
      <c r="O874" s="17"/>
      <c r="P874" s="5"/>
      <c r="Q874" s="5"/>
    </row>
    <row r="875" spans="1:17" ht="15" customHeight="1" x14ac:dyDescent="0.25">
      <c r="A875" s="75" t="s">
        <v>10</v>
      </c>
      <c r="B875" s="76"/>
      <c r="C875" s="16">
        <f>32784.52/1.2</f>
        <v>27320.433333333331</v>
      </c>
      <c r="D875" s="22"/>
      <c r="E875" s="22"/>
      <c r="F875" s="22"/>
      <c r="H875" s="20"/>
      <c r="I875" s="21"/>
      <c r="J875" s="17"/>
      <c r="K875" s="17"/>
      <c r="L875" s="17"/>
      <c r="M875" s="17"/>
      <c r="N875" s="17"/>
      <c r="O875" s="17"/>
      <c r="P875" s="5"/>
      <c r="Q875" s="5"/>
    </row>
    <row r="876" spans="1:17" ht="15" customHeight="1" x14ac:dyDescent="0.25">
      <c r="A876" s="53" t="s">
        <v>11</v>
      </c>
      <c r="B876" s="54"/>
      <c r="C876" s="16">
        <v>4831.5</v>
      </c>
      <c r="D876" s="22"/>
      <c r="E876" s="22"/>
      <c r="F876" s="22"/>
      <c r="H876" s="20"/>
      <c r="I876" s="21"/>
      <c r="J876" s="17"/>
      <c r="K876" s="17"/>
      <c r="L876" s="17"/>
      <c r="M876" s="17"/>
      <c r="N876" s="17"/>
      <c r="O876" s="17"/>
      <c r="P876" s="5"/>
      <c r="Q876" s="5"/>
    </row>
    <row r="877" spans="1:17" ht="15" customHeight="1" x14ac:dyDescent="0.25">
      <c r="A877" s="53" t="s">
        <v>26</v>
      </c>
      <c r="B877" s="54"/>
      <c r="C877" s="16">
        <v>12000</v>
      </c>
      <c r="D877" s="22"/>
      <c r="E877" s="22"/>
      <c r="F877" s="22"/>
      <c r="H877" s="20"/>
      <c r="I877" s="21"/>
      <c r="J877" s="17"/>
      <c r="K877" s="17"/>
      <c r="L877" s="17"/>
      <c r="M877" s="17"/>
      <c r="N877" s="17"/>
      <c r="O877" s="17"/>
      <c r="P877" s="5"/>
      <c r="Q877" s="5"/>
    </row>
    <row r="878" spans="1:17" ht="15" customHeight="1" x14ac:dyDescent="0.25">
      <c r="A878" s="53" t="s">
        <v>13</v>
      </c>
      <c r="B878" s="54"/>
      <c r="C878" s="16">
        <v>60950.76</v>
      </c>
      <c r="D878" s="22"/>
      <c r="E878" s="22"/>
      <c r="F878" s="22"/>
      <c r="H878" s="20"/>
      <c r="I878" s="21"/>
      <c r="J878" s="17"/>
      <c r="K878" s="17"/>
      <c r="L878" s="17"/>
      <c r="M878" s="17"/>
      <c r="N878" s="17"/>
      <c r="O878" s="17"/>
      <c r="P878" s="5"/>
      <c r="Q878" s="5"/>
    </row>
    <row r="879" spans="1:17" ht="15" customHeight="1" x14ac:dyDescent="0.25">
      <c r="A879" s="100" t="s">
        <v>14</v>
      </c>
      <c r="B879" s="101"/>
      <c r="C879" s="16">
        <v>669531.12</v>
      </c>
      <c r="D879" s="22"/>
      <c r="E879" s="22"/>
      <c r="F879" s="22"/>
      <c r="H879" s="20"/>
      <c r="I879" s="21"/>
      <c r="J879" s="17"/>
      <c r="K879" s="17"/>
      <c r="L879" s="17"/>
      <c r="M879" s="17"/>
      <c r="N879" s="17"/>
      <c r="O879" s="17"/>
      <c r="P879" s="5"/>
      <c r="Q879" s="5"/>
    </row>
    <row r="880" spans="1:17" ht="15" customHeight="1" x14ac:dyDescent="0.25">
      <c r="A880" s="104" t="s">
        <v>15</v>
      </c>
      <c r="B880" s="105"/>
      <c r="C880" s="16">
        <v>962375.04</v>
      </c>
      <c r="D880" s="22"/>
      <c r="E880" s="22"/>
      <c r="F880" s="22"/>
      <c r="H880" s="20"/>
      <c r="I880" s="21"/>
      <c r="J880" s="17"/>
      <c r="K880" s="17"/>
      <c r="L880" s="17"/>
      <c r="M880" s="17"/>
      <c r="N880" s="17"/>
      <c r="O880" s="17"/>
      <c r="P880" s="5"/>
      <c r="Q880" s="5"/>
    </row>
    <row r="881" spans="1:17" ht="15" customHeight="1" x14ac:dyDescent="0.25">
      <c r="A881" s="57" t="s">
        <v>19</v>
      </c>
      <c r="B881" s="58"/>
      <c r="C881" s="16">
        <v>17718.240000000002</v>
      </c>
      <c r="D881" s="22"/>
      <c r="E881" s="22"/>
      <c r="F881" s="22"/>
      <c r="H881" s="20"/>
      <c r="I881" s="21"/>
      <c r="J881" s="17"/>
      <c r="K881" s="17"/>
      <c r="L881" s="17"/>
      <c r="M881" s="17"/>
      <c r="N881" s="17"/>
      <c r="O881" s="17"/>
      <c r="P881" s="5"/>
      <c r="Q881" s="5"/>
    </row>
    <row r="882" spans="1:17" ht="15" customHeight="1" x14ac:dyDescent="0.25">
      <c r="A882" s="100" t="s">
        <v>12</v>
      </c>
      <c r="B882" s="101"/>
      <c r="C882" s="16">
        <v>299297.8</v>
      </c>
      <c r="D882" s="22"/>
      <c r="E882" s="22"/>
      <c r="F882" s="22"/>
      <c r="H882" s="20"/>
      <c r="I882" s="21"/>
      <c r="J882" s="17"/>
      <c r="K882" s="17"/>
      <c r="L882" s="17"/>
      <c r="M882" s="17"/>
      <c r="N882" s="17"/>
      <c r="O882" s="17"/>
      <c r="P882" s="5"/>
      <c r="Q882" s="5"/>
    </row>
    <row r="883" spans="1:17" ht="28.5" customHeight="1" x14ac:dyDescent="0.25">
      <c r="A883" s="112" t="s">
        <v>55</v>
      </c>
      <c r="B883" s="113"/>
      <c r="C883" s="82">
        <v>35238.480000000003</v>
      </c>
      <c r="D883" s="22"/>
      <c r="E883" s="22"/>
      <c r="F883" s="22"/>
      <c r="H883" s="20"/>
      <c r="I883" s="21"/>
      <c r="J883" s="17"/>
      <c r="K883" s="17"/>
      <c r="L883" s="17"/>
      <c r="M883" s="17"/>
      <c r="N883" s="17"/>
      <c r="O883" s="17"/>
      <c r="P883" s="5"/>
      <c r="Q883" s="5"/>
    </row>
    <row r="884" spans="1:17" ht="15" customHeight="1" x14ac:dyDescent="0.25">
      <c r="A884" s="94" t="s">
        <v>58</v>
      </c>
      <c r="B884" s="95"/>
      <c r="C884" s="82">
        <v>9264.86</v>
      </c>
      <c r="D884" s="22"/>
      <c r="E884" s="22"/>
      <c r="F884" s="22"/>
      <c r="H884" s="20"/>
      <c r="I884" s="21"/>
      <c r="J884" s="17"/>
      <c r="K884" s="17"/>
      <c r="L884" s="17"/>
      <c r="M884" s="17"/>
      <c r="N884" s="17"/>
      <c r="O884" s="17"/>
      <c r="P884" s="5"/>
      <c r="Q884" s="5"/>
    </row>
    <row r="885" spans="1:17" ht="15" customHeight="1" x14ac:dyDescent="0.25">
      <c r="A885" s="53" t="s">
        <v>16</v>
      </c>
      <c r="B885" s="54"/>
      <c r="C885" s="16">
        <v>420431.52</v>
      </c>
      <c r="D885" s="22"/>
      <c r="E885" s="22"/>
      <c r="F885" s="22"/>
      <c r="H885" s="20"/>
      <c r="I885" s="21"/>
      <c r="J885" s="17"/>
      <c r="K885" s="17"/>
      <c r="L885" s="17"/>
      <c r="M885" s="17"/>
      <c r="N885" s="17"/>
      <c r="O885" s="17"/>
      <c r="P885" s="5"/>
      <c r="Q885" s="5"/>
    </row>
    <row r="886" spans="1:17" ht="15" customHeight="1" thickBot="1" x14ac:dyDescent="0.3">
      <c r="A886" s="110" t="s">
        <v>17</v>
      </c>
      <c r="B886" s="111"/>
      <c r="C886" s="24">
        <v>816347.7</v>
      </c>
      <c r="D886" s="22"/>
      <c r="E886" s="22"/>
      <c r="F886" s="22"/>
      <c r="H886" s="20"/>
      <c r="I886" s="21"/>
      <c r="J886" s="17"/>
      <c r="K886" s="17"/>
      <c r="L886" s="17"/>
      <c r="M886" s="17"/>
      <c r="N886" s="17"/>
      <c r="O886" s="17"/>
      <c r="P886" s="5"/>
      <c r="Q886" s="5"/>
    </row>
    <row r="887" spans="1:17" ht="16.5" thickBot="1" x14ac:dyDescent="0.3">
      <c r="A887" s="98" t="s">
        <v>7</v>
      </c>
      <c r="B887" s="99"/>
      <c r="C887" s="28">
        <f>SUM(C874:C886)</f>
        <v>3777819.0133333327</v>
      </c>
      <c r="D887" s="2"/>
      <c r="E887" s="2"/>
      <c r="F887" s="2"/>
      <c r="G887" s="2"/>
      <c r="H887" s="6"/>
    </row>
    <row r="888" spans="1:17" ht="6" customHeight="1" thickBot="1" x14ac:dyDescent="0.3">
      <c r="A888" s="61"/>
      <c r="B888" s="62"/>
      <c r="C888" s="28"/>
      <c r="D888" s="2"/>
      <c r="E888" s="2"/>
      <c r="F888" s="2"/>
      <c r="G888" s="2"/>
      <c r="H888" s="6"/>
    </row>
    <row r="892" spans="1:17" ht="18.75" customHeight="1" x14ac:dyDescent="0.25">
      <c r="A892" s="54" t="s">
        <v>49</v>
      </c>
      <c r="B892" s="65"/>
      <c r="C892" s="52" t="s">
        <v>50</v>
      </c>
      <c r="D892" s="22"/>
      <c r="E892" s="66"/>
      <c r="F892" s="66"/>
      <c r="G892" s="42"/>
      <c r="H892" s="20"/>
      <c r="I892" s="21"/>
      <c r="J892" s="17"/>
      <c r="K892" s="17"/>
      <c r="L892" s="17"/>
      <c r="M892" s="17"/>
      <c r="N892" s="17"/>
      <c r="O892" s="17"/>
      <c r="P892" s="5"/>
      <c r="Q892" s="5"/>
    </row>
    <row r="906" spans="1:8" x14ac:dyDescent="0.25">
      <c r="C906" s="2" t="s">
        <v>47</v>
      </c>
    </row>
    <row r="907" spans="1:8" x14ac:dyDescent="0.25">
      <c r="C907" s="51" t="s">
        <v>48</v>
      </c>
    </row>
    <row r="908" spans="1:8" x14ac:dyDescent="0.25">
      <c r="C908" s="50"/>
    </row>
    <row r="909" spans="1:8" ht="16.5" thickBot="1" x14ac:dyDescent="0.3"/>
    <row r="910" spans="1:8" s="14" customFormat="1" ht="16.5" thickBot="1" x14ac:dyDescent="0.3">
      <c r="A910" s="7" t="s">
        <v>45</v>
      </c>
      <c r="B910" s="8"/>
      <c r="C910" s="9" t="s">
        <v>62</v>
      </c>
      <c r="D910" s="22"/>
      <c r="E910" s="22"/>
      <c r="F910" s="22"/>
      <c r="G910" s="22"/>
      <c r="H910" s="22"/>
    </row>
    <row r="911" spans="1:8" s="14" customFormat="1" x14ac:dyDescent="0.25">
      <c r="A911" s="10" t="s">
        <v>1</v>
      </c>
      <c r="B911" s="11"/>
      <c r="C911" s="12"/>
      <c r="D911" s="22"/>
      <c r="E911" s="22"/>
      <c r="F911" s="22"/>
      <c r="G911" s="22"/>
      <c r="H911" s="22"/>
    </row>
    <row r="912" spans="1:8" s="14" customFormat="1" x14ac:dyDescent="0.25">
      <c r="A912" s="13" t="s">
        <v>63</v>
      </c>
      <c r="C912" s="15">
        <f>(697093.14-22653.35-116751.77)/1.2+22653.35+116751.77</f>
        <v>604145.13666666672</v>
      </c>
      <c r="D912" s="22"/>
      <c r="E912" s="22"/>
      <c r="F912" s="22"/>
      <c r="G912" s="22"/>
      <c r="H912" s="22"/>
    </row>
    <row r="913" spans="1:17" s="14" customFormat="1" x14ac:dyDescent="0.25">
      <c r="A913" s="13" t="s">
        <v>2</v>
      </c>
      <c r="C913" s="15">
        <f>109216.48/1.2+116751.77</f>
        <v>207765.50333333336</v>
      </c>
      <c r="D913" s="22"/>
      <c r="E913" s="22"/>
      <c r="F913" s="22"/>
      <c r="G913" s="22"/>
      <c r="H913" s="22"/>
    </row>
    <row r="914" spans="1:17" s="14" customFormat="1" x14ac:dyDescent="0.25">
      <c r="A914" s="100" t="s">
        <v>3</v>
      </c>
      <c r="B914" s="101"/>
      <c r="C914" s="16">
        <f>1047830.94/1.2+1159755.24</f>
        <v>2032947.69</v>
      </c>
      <c r="D914" s="22"/>
      <c r="E914" s="22"/>
      <c r="F914" s="22"/>
      <c r="G914" s="22"/>
      <c r="H914" s="23"/>
    </row>
    <row r="915" spans="1:17" s="14" customFormat="1" x14ac:dyDescent="0.25">
      <c r="A915" s="100" t="s">
        <v>60</v>
      </c>
      <c r="B915" s="101"/>
      <c r="C915" s="16">
        <f>71874.6/1.2+79551.9</f>
        <v>139447.4</v>
      </c>
      <c r="D915" s="22"/>
      <c r="E915" s="22"/>
      <c r="F915" s="22"/>
      <c r="G915" s="22"/>
      <c r="H915" s="22"/>
    </row>
    <row r="916" spans="1:17" s="14" customFormat="1" x14ac:dyDescent="0.25">
      <c r="A916" s="53" t="s">
        <v>4</v>
      </c>
      <c r="B916" s="54"/>
      <c r="C916" s="16">
        <v>82150</v>
      </c>
      <c r="D916" s="22"/>
      <c r="E916" s="22"/>
      <c r="F916" s="22"/>
      <c r="G916" s="22"/>
      <c r="H916" s="22"/>
    </row>
    <row r="917" spans="1:17" s="14" customFormat="1" x14ac:dyDescent="0.25">
      <c r="A917" s="53" t="s">
        <v>6</v>
      </c>
      <c r="B917" s="54"/>
      <c r="C917" s="16">
        <f>66780/1.2</f>
        <v>55650</v>
      </c>
      <c r="D917" s="22"/>
      <c r="E917" s="22"/>
      <c r="F917" s="22"/>
      <c r="G917" s="22"/>
      <c r="H917" s="22"/>
    </row>
    <row r="918" spans="1:17" s="14" customFormat="1" x14ac:dyDescent="0.25">
      <c r="A918" s="13" t="s">
        <v>7</v>
      </c>
      <c r="B918" s="18"/>
      <c r="C918" s="19">
        <f>SUM(C914:C917)</f>
        <v>2310195.09</v>
      </c>
      <c r="D918" s="22"/>
      <c r="E918" s="22"/>
      <c r="F918" s="22"/>
      <c r="G918" s="22">
        <f>C918-C932</f>
        <v>-30579.421666666865</v>
      </c>
      <c r="H918" s="22"/>
    </row>
    <row r="919" spans="1:17" s="14" customFormat="1" x14ac:dyDescent="0.25">
      <c r="A919" s="13"/>
      <c r="B919" s="18"/>
      <c r="C919" s="19"/>
      <c r="D919" s="22"/>
      <c r="E919" s="22"/>
      <c r="F919" s="22"/>
      <c r="G919" s="22"/>
      <c r="H919" s="22"/>
    </row>
    <row r="920" spans="1:17" s="14" customFormat="1" x14ac:dyDescent="0.25">
      <c r="A920" s="108" t="s">
        <v>8</v>
      </c>
      <c r="B920" s="109"/>
      <c r="C920" s="12"/>
      <c r="D920" s="22"/>
      <c r="E920" s="22"/>
      <c r="F920" s="22"/>
      <c r="G920" s="22"/>
      <c r="H920" s="22"/>
    </row>
    <row r="921" spans="1:17" ht="15" customHeight="1" x14ac:dyDescent="0.25">
      <c r="A921" s="102" t="s">
        <v>9</v>
      </c>
      <c r="B921" s="103"/>
      <c r="C921" s="16">
        <f>288186.88+6978.67</f>
        <v>295165.55</v>
      </c>
      <c r="D921" s="22"/>
      <c r="E921" s="22"/>
      <c r="F921" s="22"/>
      <c r="H921" s="20"/>
      <c r="I921" s="21"/>
      <c r="J921" s="17"/>
      <c r="K921" s="17"/>
      <c r="L921" s="17"/>
      <c r="M921" s="17"/>
      <c r="N921" s="17"/>
      <c r="O921" s="17"/>
      <c r="P921" s="5"/>
      <c r="Q921" s="5"/>
    </row>
    <row r="922" spans="1:17" ht="15" customHeight="1" x14ac:dyDescent="0.25">
      <c r="A922" s="75" t="s">
        <v>10</v>
      </c>
      <c r="B922" s="76"/>
      <c r="C922" s="16">
        <f>13263.05/1.2</f>
        <v>11052.541666666666</v>
      </c>
      <c r="D922" s="22"/>
      <c r="E922" s="22"/>
      <c r="F922" s="22"/>
      <c r="H922" s="20"/>
      <c r="I922" s="21"/>
      <c r="J922" s="17"/>
      <c r="K922" s="17"/>
      <c r="L922" s="17"/>
      <c r="M922" s="17"/>
      <c r="N922" s="17"/>
      <c r="O922" s="17"/>
      <c r="P922" s="5"/>
      <c r="Q922" s="5"/>
    </row>
    <row r="923" spans="1:17" ht="15" customHeight="1" x14ac:dyDescent="0.25">
      <c r="A923" s="53" t="s">
        <v>11</v>
      </c>
      <c r="B923" s="54"/>
      <c r="C923" s="16">
        <v>4831.5</v>
      </c>
      <c r="D923" s="22"/>
      <c r="E923" s="22"/>
      <c r="F923" s="22"/>
      <c r="H923" s="20"/>
      <c r="I923" s="21"/>
      <c r="J923" s="17"/>
      <c r="K923" s="17"/>
      <c r="L923" s="17"/>
      <c r="M923" s="17"/>
      <c r="N923" s="17"/>
      <c r="O923" s="17"/>
      <c r="P923" s="5"/>
      <c r="Q923" s="5"/>
    </row>
    <row r="924" spans="1:17" ht="15" customHeight="1" x14ac:dyDescent="0.25">
      <c r="A924" s="53" t="s">
        <v>13</v>
      </c>
      <c r="B924" s="54"/>
      <c r="C924" s="16">
        <v>39825.839999999997</v>
      </c>
      <c r="D924" s="22"/>
      <c r="E924" s="22"/>
      <c r="F924" s="22"/>
      <c r="H924" s="20"/>
      <c r="I924" s="21"/>
      <c r="J924" s="17"/>
      <c r="K924" s="17"/>
      <c r="L924" s="17"/>
      <c r="M924" s="17"/>
      <c r="N924" s="17"/>
      <c r="O924" s="17"/>
      <c r="P924" s="5"/>
      <c r="Q924" s="5"/>
    </row>
    <row r="925" spans="1:17" ht="15" customHeight="1" x14ac:dyDescent="0.25">
      <c r="A925" s="100" t="s">
        <v>14</v>
      </c>
      <c r="B925" s="101"/>
      <c r="C925" s="16">
        <v>404297.4</v>
      </c>
      <c r="D925" s="22"/>
      <c r="E925" s="22"/>
      <c r="F925" s="22"/>
      <c r="H925" s="20"/>
      <c r="I925" s="21"/>
      <c r="J925" s="17"/>
      <c r="K925" s="17"/>
      <c r="L925" s="17"/>
      <c r="M925" s="17"/>
      <c r="N925" s="17"/>
      <c r="O925" s="17"/>
      <c r="P925" s="5"/>
      <c r="Q925" s="5"/>
    </row>
    <row r="926" spans="1:17" ht="15" customHeight="1" x14ac:dyDescent="0.25">
      <c r="A926" s="57" t="s">
        <v>46</v>
      </c>
      <c r="B926" s="58"/>
      <c r="C926" s="16">
        <v>581131.43999999994</v>
      </c>
      <c r="D926" s="22"/>
      <c r="E926" s="22"/>
      <c r="F926" s="22"/>
      <c r="H926" s="20"/>
      <c r="I926" s="21"/>
      <c r="J926" s="17"/>
      <c r="K926" s="17"/>
      <c r="L926" s="17"/>
      <c r="M926" s="17"/>
      <c r="N926" s="17"/>
      <c r="O926" s="17"/>
      <c r="P926" s="5"/>
      <c r="Q926" s="5"/>
    </row>
    <row r="927" spans="1:17" ht="15" customHeight="1" x14ac:dyDescent="0.25">
      <c r="A927" s="57" t="s">
        <v>19</v>
      </c>
      <c r="B927" s="58"/>
      <c r="C927" s="16">
        <v>10703.52</v>
      </c>
      <c r="D927" s="22"/>
      <c r="E927" s="22"/>
      <c r="F927" s="22"/>
      <c r="H927" s="20"/>
      <c r="I927" s="21"/>
      <c r="J927" s="17"/>
      <c r="K927" s="17"/>
      <c r="L927" s="17"/>
      <c r="M927" s="17"/>
      <c r="N927" s="17"/>
      <c r="O927" s="17"/>
      <c r="P927" s="5"/>
      <c r="Q927" s="5"/>
    </row>
    <row r="928" spans="1:17" ht="15" customHeight="1" x14ac:dyDescent="0.25">
      <c r="A928" s="100" t="s">
        <v>12</v>
      </c>
      <c r="B928" s="101"/>
      <c r="C928" s="16">
        <v>181802.64</v>
      </c>
      <c r="D928" s="22"/>
      <c r="E928" s="22"/>
      <c r="F928" s="22"/>
      <c r="H928" s="20"/>
      <c r="I928" s="21"/>
      <c r="J928" s="17"/>
      <c r="K928" s="17"/>
      <c r="L928" s="17"/>
      <c r="M928" s="17"/>
      <c r="N928" s="17"/>
      <c r="O928" s="17"/>
      <c r="P928" s="5"/>
      <c r="Q928" s="5"/>
    </row>
    <row r="929" spans="1:17" ht="30.75" customHeight="1" x14ac:dyDescent="0.25">
      <c r="A929" s="112" t="s">
        <v>55</v>
      </c>
      <c r="B929" s="113"/>
      <c r="C929" s="82">
        <v>21278.400000000001</v>
      </c>
      <c r="D929" s="22"/>
      <c r="E929" s="22"/>
      <c r="F929" s="22"/>
      <c r="H929" s="20"/>
      <c r="I929" s="21"/>
      <c r="J929" s="17"/>
      <c r="K929" s="17"/>
      <c r="L929" s="17"/>
      <c r="M929" s="17"/>
      <c r="N929" s="17"/>
      <c r="O929" s="17"/>
      <c r="P929" s="5"/>
      <c r="Q929" s="5"/>
    </row>
    <row r="930" spans="1:17" ht="15" customHeight="1" x14ac:dyDescent="0.25">
      <c r="A930" s="53" t="s">
        <v>16</v>
      </c>
      <c r="B930" s="54"/>
      <c r="C930" s="16">
        <v>253878.24</v>
      </c>
      <c r="D930" s="22"/>
      <c r="E930" s="22"/>
      <c r="F930" s="22"/>
      <c r="H930" s="20"/>
      <c r="I930" s="21"/>
      <c r="J930" s="17"/>
      <c r="K930" s="17"/>
      <c r="L930" s="17"/>
      <c r="M930" s="17"/>
      <c r="N930" s="17"/>
      <c r="O930" s="17"/>
      <c r="P930" s="5"/>
      <c r="Q930" s="5"/>
    </row>
    <row r="931" spans="1:17" ht="15" customHeight="1" thickBot="1" x14ac:dyDescent="0.3">
      <c r="A931" s="110" t="s">
        <v>17</v>
      </c>
      <c r="B931" s="111"/>
      <c r="C931" s="24">
        <v>536807.43999999994</v>
      </c>
      <c r="D931" s="22"/>
      <c r="E931" s="22"/>
      <c r="F931" s="22"/>
      <c r="H931" s="20"/>
      <c r="I931" s="21"/>
      <c r="J931" s="17"/>
      <c r="K931" s="17"/>
      <c r="L931" s="17"/>
      <c r="M931" s="17"/>
      <c r="N931" s="17"/>
      <c r="O931" s="17"/>
      <c r="P931" s="5"/>
      <c r="Q931" s="5"/>
    </row>
    <row r="932" spans="1:17" ht="16.5" thickBot="1" x14ac:dyDescent="0.3">
      <c r="A932" s="98" t="s">
        <v>7</v>
      </c>
      <c r="B932" s="99"/>
      <c r="C932" s="28">
        <f>SUM(C921:C931)</f>
        <v>2340774.5116666667</v>
      </c>
      <c r="D932" s="2"/>
      <c r="E932" s="2"/>
      <c r="F932" s="2"/>
      <c r="G932" s="2"/>
      <c r="H932" s="6"/>
    </row>
    <row r="936" spans="1:17" ht="18.75" customHeight="1" x14ac:dyDescent="0.25">
      <c r="A936" s="54" t="s">
        <v>49</v>
      </c>
      <c r="B936" s="65"/>
      <c r="C936" s="52" t="s">
        <v>50</v>
      </c>
      <c r="D936" s="22"/>
      <c r="E936" s="66"/>
      <c r="F936" s="66"/>
      <c r="G936" s="42"/>
      <c r="H936" s="20"/>
      <c r="I936" s="21"/>
      <c r="J936" s="17"/>
      <c r="K936" s="17"/>
      <c r="L936" s="17"/>
      <c r="M936" s="17"/>
      <c r="N936" s="17"/>
      <c r="O936" s="17"/>
      <c r="P936" s="5"/>
      <c r="Q936" s="5"/>
    </row>
    <row r="939" spans="1:17" x14ac:dyDescent="0.25">
      <c r="G939" s="3">
        <f>SUM(G3:G938)</f>
        <v>-1938111.1816666657</v>
      </c>
    </row>
  </sheetData>
  <mergeCells count="204">
    <mergeCell ref="A921:B921"/>
    <mergeCell ref="A818:B818"/>
    <mergeCell ref="A771:B771"/>
    <mergeCell ref="A777:B777"/>
    <mergeCell ref="A745:B745"/>
    <mergeCell ref="A772:B772"/>
    <mergeCell ref="A778:B778"/>
    <mergeCell ref="A786:B786"/>
    <mergeCell ref="A783:B783"/>
    <mergeCell ref="A791:B791"/>
    <mergeCell ref="A784:B784"/>
    <mergeCell ref="A547:B547"/>
    <mergeCell ref="A545:B545"/>
    <mergeCell ref="A505:B505"/>
    <mergeCell ref="A533:B533"/>
    <mergeCell ref="A550:B550"/>
    <mergeCell ref="A551:B551"/>
    <mergeCell ref="A586:B586"/>
    <mergeCell ref="A585:B585"/>
    <mergeCell ref="A580:B580"/>
    <mergeCell ref="A546:B546"/>
    <mergeCell ref="A455:B455"/>
    <mergeCell ref="A490:B490"/>
    <mergeCell ref="A439:B439"/>
    <mergeCell ref="A437:B437"/>
    <mergeCell ref="A438:B438"/>
    <mergeCell ref="A443:B443"/>
    <mergeCell ref="A444:B444"/>
    <mergeCell ref="A448:B448"/>
    <mergeCell ref="A451:B451"/>
    <mergeCell ref="A449:B449"/>
    <mergeCell ref="A454:B454"/>
    <mergeCell ref="A485:B485"/>
    <mergeCell ref="A450:B450"/>
    <mergeCell ref="A407:B407"/>
    <mergeCell ref="A412:B412"/>
    <mergeCell ref="A389:B389"/>
    <mergeCell ref="A397:B397"/>
    <mergeCell ref="A390:B390"/>
    <mergeCell ref="A398:B398"/>
    <mergeCell ref="A403:B403"/>
    <mergeCell ref="A408:B408"/>
    <mergeCell ref="A404:B404"/>
    <mergeCell ref="A411:B411"/>
    <mergeCell ref="A405:B405"/>
    <mergeCell ref="A348:B348"/>
    <mergeCell ref="A354:B354"/>
    <mergeCell ref="A358:B358"/>
    <mergeCell ref="A360:B360"/>
    <mergeCell ref="A305:B305"/>
    <mergeCell ref="A312:B312"/>
    <mergeCell ref="A342:B342"/>
    <mergeCell ref="A310:B310"/>
    <mergeCell ref="A347:B347"/>
    <mergeCell ref="A353:B353"/>
    <mergeCell ref="A306:B306"/>
    <mergeCell ref="A355:B355"/>
    <mergeCell ref="A246:B246"/>
    <mergeCell ref="A202:B202"/>
    <mergeCell ref="A245:B245"/>
    <mergeCell ref="A307:B307"/>
    <mergeCell ref="A304:B304"/>
    <mergeCell ref="A308:B308"/>
    <mergeCell ref="A251:B251"/>
    <mergeCell ref="A252:B252"/>
    <mergeCell ref="A258:B258"/>
    <mergeCell ref="A256:B256"/>
    <mergeCell ref="A259:B259"/>
    <mergeCell ref="A260:B260"/>
    <mergeCell ref="A262:B262"/>
    <mergeCell ref="A294:B294"/>
    <mergeCell ref="A299:B299"/>
    <mergeCell ref="A300:B300"/>
    <mergeCell ref="A72:B72"/>
    <mergeCell ref="A73:B73"/>
    <mergeCell ref="A156:B156"/>
    <mergeCell ref="A163:B163"/>
    <mergeCell ref="A164:B164"/>
    <mergeCell ref="A113:B113"/>
    <mergeCell ref="A148:B148"/>
    <mergeCell ref="A155:B155"/>
    <mergeCell ref="A161:B161"/>
    <mergeCell ref="A120:B120"/>
    <mergeCell ref="A122:B122"/>
    <mergeCell ref="A127:B127"/>
    <mergeCell ref="A128:B128"/>
    <mergeCell ref="E10:F10"/>
    <mergeCell ref="E11:F11"/>
    <mergeCell ref="A16:B16"/>
    <mergeCell ref="E17:F17"/>
    <mergeCell ref="E19:F19"/>
    <mergeCell ref="E21:F21"/>
    <mergeCell ref="A22:B22"/>
    <mergeCell ref="E22:F22"/>
    <mergeCell ref="A10:B10"/>
    <mergeCell ref="A11:B11"/>
    <mergeCell ref="A17:B17"/>
    <mergeCell ref="A23:B23"/>
    <mergeCell ref="A68:B68"/>
    <mergeCell ref="A71:B71"/>
    <mergeCell ref="E73:F73"/>
    <mergeCell ref="A74:B74"/>
    <mergeCell ref="A102:B102"/>
    <mergeCell ref="A103:B103"/>
    <mergeCell ref="A111:B111"/>
    <mergeCell ref="A118:B118"/>
    <mergeCell ref="A112:B112"/>
    <mergeCell ref="E24:F24"/>
    <mergeCell ref="E27:F27"/>
    <mergeCell ref="E29:F29"/>
    <mergeCell ref="A55:B55"/>
    <mergeCell ref="E62:F62"/>
    <mergeCell ref="E64:F64"/>
    <mergeCell ref="E68:F68"/>
    <mergeCell ref="A69:B69"/>
    <mergeCell ref="E69:F69"/>
    <mergeCell ref="A27:B27"/>
    <mergeCell ref="A29:B29"/>
    <mergeCell ref="A56:B56"/>
    <mergeCell ref="A61:B61"/>
    <mergeCell ref="A62:B62"/>
    <mergeCell ref="A166:B166"/>
    <mergeCell ref="A168:B168"/>
    <mergeCell ref="A196:B196"/>
    <mergeCell ref="A197:B197"/>
    <mergeCell ref="A203:B203"/>
    <mergeCell ref="A207:B207"/>
    <mergeCell ref="A208:B208"/>
    <mergeCell ref="A212:B212"/>
    <mergeCell ref="A214:B214"/>
    <mergeCell ref="A209:B209"/>
    <mergeCell ref="A210:B210"/>
    <mergeCell ref="A491:B491"/>
    <mergeCell ref="A499:B499"/>
    <mergeCell ref="A496:B496"/>
    <mergeCell ref="A500:B500"/>
    <mergeCell ref="A497:B497"/>
    <mergeCell ref="A504:B504"/>
    <mergeCell ref="A539:B539"/>
    <mergeCell ref="A540:B540"/>
    <mergeCell ref="A544:B544"/>
    <mergeCell ref="A498:B498"/>
    <mergeCell ref="A592:B592"/>
    <mergeCell ref="A593:B593"/>
    <mergeCell ref="A598:B598"/>
    <mergeCell ref="A599:B599"/>
    <mergeCell ref="A628:B628"/>
    <mergeCell ref="A629:B629"/>
    <mergeCell ref="A644:B644"/>
    <mergeCell ref="A648:B648"/>
    <mergeCell ref="A635:B635"/>
    <mergeCell ref="A636:B636"/>
    <mergeCell ref="A595:B595"/>
    <mergeCell ref="A640:B640"/>
    <mergeCell ref="A594:B594"/>
    <mergeCell ref="A642:B642"/>
    <mergeCell ref="A675:B675"/>
    <mergeCell ref="A688:B688"/>
    <mergeCell ref="A691:B691"/>
    <mergeCell ref="A647:B647"/>
    <mergeCell ref="A682:B682"/>
    <mergeCell ref="A683:B683"/>
    <mergeCell ref="A687:B687"/>
    <mergeCell ref="A929:B929"/>
    <mergeCell ref="A931:B931"/>
    <mergeCell ref="A689:B689"/>
    <mergeCell ref="A723:B723"/>
    <mergeCell ref="A724:B724"/>
    <mergeCell ref="A730:B730"/>
    <mergeCell ref="A735:B735"/>
    <mergeCell ref="A739:B739"/>
    <mergeCell ref="A782:B782"/>
    <mergeCell ref="A731:B731"/>
    <mergeCell ref="A744:B744"/>
    <mergeCell ref="A736:B736"/>
    <mergeCell ref="A737:B737"/>
    <mergeCell ref="A696:B696"/>
    <mergeCell ref="A697:B697"/>
    <mergeCell ref="A925:B925"/>
    <mergeCell ref="A790:B790"/>
    <mergeCell ref="A932:B932"/>
    <mergeCell ref="A819:B819"/>
    <mergeCell ref="A826:B826"/>
    <mergeCell ref="A834:B834"/>
    <mergeCell ref="A831:B831"/>
    <mergeCell ref="A840:B840"/>
    <mergeCell ref="A868:B868"/>
    <mergeCell ref="A873:B873"/>
    <mergeCell ref="A874:B874"/>
    <mergeCell ref="A879:B879"/>
    <mergeCell ref="A839:B839"/>
    <mergeCell ref="A866:B866"/>
    <mergeCell ref="A825:B825"/>
    <mergeCell ref="A830:B830"/>
    <mergeCell ref="A928:B928"/>
    <mergeCell ref="A880:B880"/>
    <mergeCell ref="A882:B882"/>
    <mergeCell ref="A886:B886"/>
    <mergeCell ref="A887:B887"/>
    <mergeCell ref="A914:B914"/>
    <mergeCell ref="A915:B915"/>
    <mergeCell ref="A920:B920"/>
    <mergeCell ref="A832:B832"/>
    <mergeCell ref="A883:B8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2025-03-21T02:05:19Z</dcterms:modified>
</cp:coreProperties>
</file>