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88" i="1"/>
  <c r="C283"/>
  <c r="C171"/>
  <c r="C163"/>
  <c r="C23"/>
  <c r="C18"/>
  <c r="C115" l="1"/>
  <c r="C191"/>
  <c r="C138"/>
  <c r="C281"/>
  <c r="C491"/>
  <c r="C483"/>
  <c r="C482"/>
  <c r="C477"/>
  <c r="C475"/>
  <c r="C474"/>
  <c r="C473"/>
  <c r="C472" s="1"/>
  <c r="C465"/>
  <c r="C463"/>
  <c r="C457"/>
  <c r="C456"/>
  <c r="C452"/>
  <c r="C450"/>
  <c r="C449"/>
  <c r="C448"/>
  <c r="C447" s="1"/>
  <c r="C441"/>
  <c r="C440"/>
  <c r="C437"/>
  <c r="C436"/>
  <c r="C435"/>
  <c r="C434"/>
  <c r="C430"/>
  <c r="C428"/>
  <c r="C427"/>
  <c r="C426"/>
  <c r="C425" s="1"/>
  <c r="C419"/>
  <c r="C418"/>
  <c r="C417"/>
  <c r="C413"/>
  <c r="C411"/>
  <c r="C410"/>
  <c r="C409"/>
  <c r="C404"/>
  <c r="C403"/>
  <c r="C402"/>
  <c r="C401"/>
  <c r="C400"/>
  <c r="C399" s="1"/>
  <c r="C393"/>
  <c r="C392"/>
  <c r="C391"/>
  <c r="C390"/>
  <c r="C389"/>
  <c r="C388"/>
  <c r="C386"/>
  <c r="C385"/>
  <c r="C384"/>
  <c r="C383"/>
  <c r="C378"/>
  <c r="C376"/>
  <c r="C375"/>
  <c r="C374"/>
  <c r="C373" s="1"/>
  <c r="C367"/>
  <c r="C366"/>
  <c r="C364"/>
  <c r="C361"/>
  <c r="C360"/>
  <c r="C359"/>
  <c r="C358"/>
  <c r="C353"/>
  <c r="C352"/>
  <c r="C351"/>
  <c r="C350"/>
  <c r="C349" s="1"/>
  <c r="C342"/>
  <c r="C341"/>
  <c r="C340"/>
  <c r="C339"/>
  <c r="C338"/>
  <c r="C337"/>
  <c r="C335"/>
  <c r="C334"/>
  <c r="C333"/>
  <c r="C328"/>
  <c r="C327"/>
  <c r="C326"/>
  <c r="C325"/>
  <c r="C324"/>
  <c r="C323" s="1"/>
  <c r="C315"/>
  <c r="C314"/>
  <c r="C312"/>
  <c r="C311"/>
  <c r="C310"/>
  <c r="C307"/>
  <c r="C306"/>
  <c r="C301"/>
  <c r="C299"/>
  <c r="C298"/>
  <c r="C297"/>
  <c r="C296"/>
  <c r="C295"/>
  <c r="C294" s="1"/>
  <c r="C286"/>
  <c r="C280"/>
  <c r="C279"/>
  <c r="C275"/>
  <c r="C274"/>
  <c r="C272"/>
  <c r="C271"/>
  <c r="C270"/>
  <c r="C269" s="1"/>
  <c r="C259"/>
  <c r="C258"/>
  <c r="C255"/>
  <c r="C254"/>
  <c r="C249"/>
  <c r="C248"/>
  <c r="C247"/>
  <c r="C246" s="1"/>
  <c r="C238"/>
  <c r="C234"/>
  <c r="C233"/>
  <c r="C228"/>
  <c r="C227"/>
  <c r="C226"/>
  <c r="C230" s="1"/>
  <c r="C225"/>
  <c r="C224" s="1"/>
  <c r="C214"/>
  <c r="C209"/>
  <c r="C208"/>
  <c r="C203"/>
  <c r="C202"/>
  <c r="C201"/>
  <c r="C200" s="1"/>
  <c r="C193"/>
  <c r="C187"/>
  <c r="C186"/>
  <c r="C181"/>
  <c r="C180"/>
  <c r="C179"/>
  <c r="C178"/>
  <c r="C177" s="1"/>
  <c r="C170"/>
  <c r="C169"/>
  <c r="C168"/>
  <c r="C167"/>
  <c r="C166"/>
  <c r="C165"/>
  <c r="C164"/>
  <c r="C159"/>
  <c r="C155"/>
  <c r="C153"/>
  <c r="C152"/>
  <c r="C151"/>
  <c r="C150"/>
  <c r="C149"/>
  <c r="C148" s="1"/>
  <c r="C141"/>
  <c r="C136"/>
  <c r="C135"/>
  <c r="C134"/>
  <c r="C133"/>
  <c r="C128"/>
  <c r="C127"/>
  <c r="C126"/>
  <c r="C125" s="1"/>
  <c r="C112"/>
  <c r="C111"/>
  <c r="C109"/>
  <c r="C108"/>
  <c r="C103"/>
  <c r="C102"/>
  <c r="C101"/>
  <c r="C100"/>
  <c r="C99" s="1"/>
  <c r="C92"/>
  <c r="C91"/>
  <c r="C88"/>
  <c r="C87"/>
  <c r="C86"/>
  <c r="C85"/>
  <c r="C80"/>
  <c r="C79"/>
  <c r="C78"/>
  <c r="C77"/>
  <c r="C76" s="1"/>
  <c r="C69"/>
  <c r="C68"/>
  <c r="C66"/>
  <c r="C65"/>
  <c r="C64"/>
  <c r="C62"/>
  <c r="C61"/>
  <c r="C56"/>
  <c r="C55"/>
  <c r="C54"/>
  <c r="C53"/>
  <c r="C52" s="1"/>
  <c r="C45"/>
  <c r="C44"/>
  <c r="C43"/>
  <c r="C42"/>
  <c r="C41"/>
  <c r="C40"/>
  <c r="C39"/>
  <c r="C38"/>
  <c r="C34"/>
  <c r="C33"/>
  <c r="C32"/>
  <c r="C31"/>
  <c r="C30"/>
  <c r="C29" s="1"/>
  <c r="C22"/>
  <c r="C19"/>
  <c r="C17"/>
  <c r="C16"/>
  <c r="C15"/>
  <c r="C14"/>
  <c r="C10"/>
  <c r="C9"/>
  <c r="C7"/>
  <c r="C6"/>
  <c r="C5"/>
  <c r="C4" s="1"/>
  <c r="C82" l="1"/>
  <c r="C251"/>
  <c r="C317"/>
  <c r="C330"/>
  <c r="C344"/>
  <c r="C241"/>
  <c r="C35"/>
  <c r="C47"/>
  <c r="C406"/>
  <c r="C443"/>
  <c r="C495"/>
  <c r="C120"/>
  <c r="C420"/>
  <c r="C183"/>
  <c r="C453"/>
  <c r="C94"/>
  <c r="C205"/>
  <c r="C289"/>
  <c r="C467"/>
  <c r="C156"/>
  <c r="C172"/>
  <c r="C264"/>
  <c r="C369"/>
  <c r="C380"/>
  <c r="C24"/>
  <c r="C143"/>
  <c r="C276"/>
  <c r="C303"/>
  <c r="C355"/>
  <c r="C58"/>
  <c r="C11"/>
  <c r="C71"/>
  <c r="C105"/>
  <c r="C130"/>
  <c r="C219"/>
  <c r="C394"/>
  <c r="C431"/>
  <c r="C479"/>
  <c r="C195"/>
</calcChain>
</file>

<file path=xl/sharedStrings.xml><?xml version="1.0" encoding="utf-8"?>
<sst xmlns="http://schemas.openxmlformats.org/spreadsheetml/2006/main" count="437" uniqueCount="69">
  <si>
    <t>ж.д Ингодинская 30</t>
  </si>
  <si>
    <t>Доходы, руб</t>
  </si>
  <si>
    <t>в том числе задолжность за жилищные услуги</t>
  </si>
  <si>
    <t xml:space="preserve">Жилищные услуги </t>
  </si>
  <si>
    <t>Эксплуатационные услуги(офисы)</t>
  </si>
  <si>
    <t>Пользование общим иммуществом многоквартирного дома</t>
  </si>
  <si>
    <t>Плата за домофон</t>
  </si>
  <si>
    <t>Итого</t>
  </si>
  <si>
    <t>Расходы, руб</t>
  </si>
  <si>
    <t>Благоустройство</t>
  </si>
  <si>
    <t>Дератизация, дезинсекция</t>
  </si>
  <si>
    <t>Исследование проб воды</t>
  </si>
  <si>
    <t>Содержание и ремонт домофонов</t>
  </si>
  <si>
    <t>Содержание и ремонт лифтов</t>
  </si>
  <si>
    <t>Содержание систем водоснабжения и энергоснабжения</t>
  </si>
  <si>
    <t>Содержание общедомовых антенн</t>
  </si>
  <si>
    <t>Содержание и текущий ремонт помещений</t>
  </si>
  <si>
    <t>Содержание систем отопления и ГВС</t>
  </si>
  <si>
    <t>Уборка помещений</t>
  </si>
  <si>
    <t>Услуги управления</t>
  </si>
  <si>
    <t>ж.д Набережная 86</t>
  </si>
  <si>
    <t>Вознаграждение председателю совета дома</t>
  </si>
  <si>
    <t>Ремонт ворот</t>
  </si>
  <si>
    <t>мкр.Октябрьский д.1</t>
  </si>
  <si>
    <t>Эксплуатационные услуги (офисы)</t>
  </si>
  <si>
    <t>Содержание консьержа</t>
  </si>
  <si>
    <t>мкр.Октябрьский д.2</t>
  </si>
  <si>
    <t xml:space="preserve">Итого </t>
  </si>
  <si>
    <t>мкр.Октябрьский д.3</t>
  </si>
  <si>
    <t>мкр.Октябрьский д.4</t>
  </si>
  <si>
    <t>мкр.Октябрьский д.5</t>
  </si>
  <si>
    <t>мкр.Октябрьский д.6</t>
  </si>
  <si>
    <t>мкр.Октябрьский д.7</t>
  </si>
  <si>
    <t>мкр.Октябрьский д.9</t>
  </si>
  <si>
    <t>мкр.Октябрьский д.10</t>
  </si>
  <si>
    <t>мкр.Октябрьский д.11</t>
  </si>
  <si>
    <t>мкр.Октябрьский д.13</t>
  </si>
  <si>
    <t>Итого расходы</t>
  </si>
  <si>
    <t>мкр.Октябрьский д.14</t>
  </si>
  <si>
    <t>мкр. Царский, дом 1</t>
  </si>
  <si>
    <t>Текущий ремонт</t>
  </si>
  <si>
    <t>мкр. Царский, дом 2</t>
  </si>
  <si>
    <t>мкр. Царский, дом 3</t>
  </si>
  <si>
    <t>мкр. Царский, дом 4</t>
  </si>
  <si>
    <t>Плата за э/э и интернет для системы наружного видеонаблюдения</t>
  </si>
  <si>
    <t>мкр. Царский, дом 5</t>
  </si>
  <si>
    <t>Ремонт и обслуживание видеонаблюдения</t>
  </si>
  <si>
    <t>мкр. Царский, дом 6</t>
  </si>
  <si>
    <t>Содержание систем отопление и ГВС</t>
  </si>
  <si>
    <t>Задолжность за коммунальные и жилищные услуги на 31.12.2021г.</t>
  </si>
  <si>
    <t xml:space="preserve">Услуги управления </t>
  </si>
  <si>
    <t>Эксплуатационные услуги (автостоянка)</t>
  </si>
  <si>
    <t>Ремонт кровли автостоянки</t>
  </si>
  <si>
    <t>Содержание и текущий ремонт помещений (из резерва)</t>
  </si>
  <si>
    <t>Содержание и ТР систем водоснабжения и канализации</t>
  </si>
  <si>
    <t>Плата за интернет для системы видеонаблюдения</t>
  </si>
  <si>
    <t>Содержание ситем отопления и ГВС</t>
  </si>
  <si>
    <t>Эксплуатационные услуги(автостоянка)</t>
  </si>
  <si>
    <t>Единовременная оплата за устройство видеонаблюдения</t>
  </si>
  <si>
    <t>Замена стеклопакетов</t>
  </si>
  <si>
    <t>Услуги связи, интернет для видеонаблюдения</t>
  </si>
  <si>
    <t>Плата за эл/эн и нтернет для системы наружного видеонаблюдения</t>
  </si>
  <si>
    <t>Благоустройство и уборка прилегающей территории</t>
  </si>
  <si>
    <t>Покраска забора</t>
  </si>
  <si>
    <t xml:space="preserve">Ремонт 2, 3, 4 подъездов и пожарной лестницы 1-го подъезда </t>
  </si>
  <si>
    <t>Ремонт подъездов</t>
  </si>
  <si>
    <t>Ремонт подъезда</t>
  </si>
  <si>
    <t>Ремонт автостоянки</t>
  </si>
  <si>
    <t>Монтаж видеонаблюдения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</si>
</sst>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4" fontId="1" fillId="0" borderId="3" xfId="0" applyNumberFormat="1" applyFont="1" applyFill="1" applyBorder="1"/>
    <xf numFmtId="4" fontId="2" fillId="0" borderId="0" xfId="0" applyNumberFormat="1" applyFont="1" applyFill="1" applyBorder="1"/>
    <xf numFmtId="4" fontId="2" fillId="0" borderId="0" xfId="0" applyNumberFormat="1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164" fontId="2" fillId="0" borderId="0" xfId="0" applyNumberFormat="1" applyFont="1" applyBorder="1"/>
    <xf numFmtId="0" fontId="2" fillId="0" borderId="0" xfId="0" applyFont="1" applyBorder="1"/>
    <xf numFmtId="0" fontId="2" fillId="0" borderId="0" xfId="0" applyFont="1"/>
    <xf numFmtId="0" fontId="1" fillId="2" borderId="4" xfId="0" applyFont="1" applyFill="1" applyBorder="1"/>
    <xf numFmtId="0" fontId="2" fillId="2" borderId="5" xfId="0" applyFont="1" applyFill="1" applyBorder="1"/>
    <xf numFmtId="4" fontId="2" fillId="2" borderId="6" xfId="0" applyNumberFormat="1" applyFont="1" applyFill="1" applyBorder="1"/>
    <xf numFmtId="4" fontId="2" fillId="0" borderId="0" xfId="0" applyNumberFormat="1" applyFont="1" applyFill="1"/>
    <xf numFmtId="0" fontId="1" fillId="0" borderId="7" xfId="0" applyFont="1" applyFill="1" applyBorder="1"/>
    <xf numFmtId="0" fontId="2" fillId="0" borderId="8" xfId="0" applyFont="1" applyFill="1" applyBorder="1"/>
    <xf numFmtId="4" fontId="2" fillId="0" borderId="9" xfId="0" applyNumberFormat="1" applyFont="1" applyFill="1" applyBorder="1"/>
    <xf numFmtId="2" fontId="2" fillId="0" borderId="0" xfId="0" applyNumberFormat="1" applyFont="1" applyBorder="1" applyAlignment="1">
      <alignment wrapText="1"/>
    </xf>
    <xf numFmtId="0" fontId="1" fillId="0" borderId="10" xfId="0" applyFont="1" applyFill="1" applyBorder="1"/>
    <xf numFmtId="0" fontId="2" fillId="0" borderId="0" xfId="0" applyFont="1" applyFill="1" applyBorder="1"/>
    <xf numFmtId="4" fontId="3" fillId="0" borderId="11" xfId="0" applyNumberFormat="1" applyFont="1" applyFill="1" applyBorder="1"/>
    <xf numFmtId="4" fontId="4" fillId="0" borderId="11" xfId="0" applyNumberFormat="1" applyFont="1" applyFill="1" applyBorder="1"/>
    <xf numFmtId="4" fontId="4" fillId="0" borderId="0" xfId="0" applyNumberFormat="1" applyFont="1" applyFill="1" applyBorder="1"/>
    <xf numFmtId="0" fontId="4" fillId="0" borderId="1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/>
    <xf numFmtId="4" fontId="1" fillId="0" borderId="11" xfId="0" applyNumberFormat="1" applyFont="1" applyFill="1" applyBorder="1"/>
    <xf numFmtId="4" fontId="1" fillId="0" borderId="0" xfId="0" applyNumberFormat="1" applyFont="1" applyFill="1" applyBorder="1"/>
    <xf numFmtId="4" fontId="2" fillId="0" borderId="14" xfId="0" applyNumberFormat="1" applyFont="1" applyFill="1" applyBorder="1"/>
    <xf numFmtId="0" fontId="2" fillId="0" borderId="1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" fontId="4" fillId="0" borderId="3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/>
    <xf numFmtId="0" fontId="1" fillId="0" borderId="17" xfId="0" applyFont="1" applyFill="1" applyBorder="1"/>
    <xf numFmtId="0" fontId="2" fillId="0" borderId="18" xfId="0" applyFont="1" applyFill="1" applyBorder="1"/>
    <xf numFmtId="0" fontId="2" fillId="0" borderId="16" xfId="0" applyFont="1" applyFill="1" applyBorder="1"/>
    <xf numFmtId="4" fontId="2" fillId="0" borderId="0" xfId="0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4" fontId="1" fillId="0" borderId="6" xfId="0" applyNumberFormat="1" applyFont="1" applyFill="1" applyBorder="1"/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12" xfId="0" applyFont="1" applyFill="1" applyBorder="1"/>
    <xf numFmtId="0" fontId="2" fillId="0" borderId="13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4" fontId="2" fillId="0" borderId="19" xfId="0" applyNumberFormat="1" applyFont="1" applyFill="1" applyBorder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/>
    <xf numFmtId="0" fontId="1" fillId="0" borderId="0" xfId="0" applyFont="1" applyFill="1" applyBorder="1" applyAlignment="1"/>
    <xf numFmtId="4" fontId="1" fillId="0" borderId="11" xfId="0" applyNumberFormat="1" applyFont="1" applyFill="1" applyBorder="1" applyAlignment="1"/>
    <xf numFmtId="0" fontId="1" fillId="2" borderId="1" xfId="0" applyFont="1" applyFill="1" applyBorder="1"/>
    <xf numFmtId="0" fontId="2" fillId="2" borderId="2" xfId="0" applyFont="1" applyFill="1" applyBorder="1"/>
    <xf numFmtId="4" fontId="2" fillId="2" borderId="3" xfId="0" applyNumberFormat="1" applyFont="1" applyFill="1" applyBorder="1"/>
    <xf numFmtId="0" fontId="1" fillId="2" borderId="17" xfId="0" applyFont="1" applyFill="1" applyBorder="1"/>
    <xf numFmtId="0" fontId="2" fillId="2" borderId="18" xfId="0" applyFont="1" applyFill="1" applyBorder="1"/>
    <xf numFmtId="4" fontId="2" fillId="2" borderId="19" xfId="0" applyNumberFormat="1" applyFont="1" applyFill="1" applyBorder="1"/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14" xfId="0" applyNumberFormat="1" applyFont="1" applyFill="1" applyBorder="1"/>
    <xf numFmtId="4" fontId="3" fillId="2" borderId="6" xfId="0" applyNumberFormat="1" applyFont="1" applyFill="1" applyBorder="1"/>
    <xf numFmtId="0" fontId="4" fillId="0" borderId="1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3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wrapText="1"/>
    </xf>
    <xf numFmtId="0" fontId="1" fillId="0" borderId="4" xfId="0" applyFont="1" applyFill="1" applyBorder="1"/>
    <xf numFmtId="0" fontId="1" fillId="0" borderId="5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8"/>
  <sheetViews>
    <sheetView tabSelected="1" workbookViewId="0">
      <selection activeCell="A470" sqref="A470:XFD496"/>
    </sheetView>
  </sheetViews>
  <sheetFormatPr defaultRowHeight="15.75"/>
  <cols>
    <col min="1" max="1" width="16.7109375" style="36" customWidth="1"/>
    <col min="2" max="2" width="54" style="36" customWidth="1"/>
    <col min="3" max="3" width="14.85546875" style="14" customWidth="1"/>
    <col min="4" max="4" width="11.7109375" style="5" customWidth="1"/>
    <col min="5" max="5" width="10" style="5" bestFit="1" customWidth="1"/>
    <col min="6" max="6" width="9.140625" style="5"/>
    <col min="7" max="7" width="11.42578125" style="5" bestFit="1" customWidth="1"/>
    <col min="8" max="8" width="29" style="5" customWidth="1"/>
    <col min="9" max="9" width="19.5703125" style="10" customWidth="1"/>
    <col min="10" max="15" width="12.5703125" style="10" customWidth="1"/>
    <col min="16" max="16384" width="9.140625" style="10"/>
  </cols>
  <sheetData>
    <row r="1" spans="1:17" ht="5.25" customHeight="1" thickBot="1">
      <c r="A1" s="1"/>
      <c r="B1" s="2"/>
      <c r="C1" s="3"/>
      <c r="D1" s="4"/>
      <c r="E1" s="4"/>
      <c r="F1" s="4"/>
      <c r="H1" s="6"/>
      <c r="I1" s="7"/>
      <c r="J1" s="8"/>
      <c r="K1" s="8"/>
      <c r="L1" s="8"/>
      <c r="M1" s="8"/>
      <c r="N1" s="8"/>
      <c r="O1" s="8"/>
      <c r="P1" s="9"/>
      <c r="Q1" s="9"/>
    </row>
    <row r="2" spans="1:17" ht="16.5" thickBot="1">
      <c r="A2" s="11" t="s">
        <v>23</v>
      </c>
      <c r="B2" s="12"/>
      <c r="C2" s="13"/>
      <c r="H2" s="40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5" t="s">
        <v>1</v>
      </c>
      <c r="B3" s="16"/>
      <c r="C3" s="29"/>
      <c r="H3" s="40"/>
      <c r="I3" s="9"/>
      <c r="J3" s="9"/>
      <c r="K3" s="9"/>
      <c r="L3" s="9"/>
      <c r="M3" s="9"/>
      <c r="N3" s="9"/>
      <c r="O3" s="9"/>
      <c r="P3" s="9"/>
      <c r="Q3" s="9"/>
    </row>
    <row r="4" spans="1:17">
      <c r="A4" s="19" t="s">
        <v>49</v>
      </c>
      <c r="B4" s="20"/>
      <c r="C4" s="21">
        <f>1737958.97-119977.87-278811.51-132412.14+C5</f>
        <v>1695893.9683333335</v>
      </c>
      <c r="H4" s="40"/>
      <c r="I4" s="9"/>
      <c r="J4" s="9"/>
      <c r="K4" s="9"/>
      <c r="L4" s="9"/>
      <c r="M4" s="9"/>
      <c r="N4" s="9"/>
      <c r="O4" s="9"/>
      <c r="P4" s="9"/>
      <c r="Q4" s="9"/>
    </row>
    <row r="5" spans="1:17">
      <c r="A5" s="19" t="s">
        <v>2</v>
      </c>
      <c r="B5" s="20"/>
      <c r="C5" s="21">
        <f>119977.87/1.2+278811.51+132412.14/1.2</f>
        <v>489136.51833333337</v>
      </c>
      <c r="H5" s="40"/>
      <c r="I5" s="9"/>
      <c r="J5" s="9"/>
      <c r="K5" s="9"/>
      <c r="L5" s="9"/>
      <c r="M5" s="9"/>
      <c r="N5" s="9"/>
      <c r="O5" s="9"/>
      <c r="P5" s="9"/>
      <c r="Q5" s="9"/>
    </row>
    <row r="6" spans="1:17">
      <c r="A6" s="88" t="s">
        <v>3</v>
      </c>
      <c r="B6" s="81"/>
      <c r="C6" s="22">
        <f>969321.42/1.2+2331742.53+1052810.13/1.2</f>
        <v>4016852.1549999998</v>
      </c>
      <c r="H6" s="40"/>
      <c r="I6" s="9"/>
      <c r="J6" s="9"/>
      <c r="K6" s="9"/>
      <c r="L6" s="9"/>
      <c r="M6" s="9"/>
      <c r="N6" s="9"/>
      <c r="O6" s="9"/>
      <c r="P6" s="9"/>
      <c r="Q6" s="9"/>
    </row>
    <row r="7" spans="1:17">
      <c r="A7" s="88" t="s">
        <v>24</v>
      </c>
      <c r="B7" s="81"/>
      <c r="C7" s="22">
        <f>26226.68/1.2+63997.44/1.2+289368.24+195723.06/1.2</f>
        <v>527657.55666666664</v>
      </c>
      <c r="H7" s="40"/>
      <c r="I7" s="9"/>
      <c r="J7" s="9"/>
      <c r="K7" s="9"/>
      <c r="L7" s="9"/>
      <c r="M7" s="9"/>
      <c r="N7" s="9"/>
      <c r="O7" s="9"/>
      <c r="P7" s="9"/>
      <c r="Q7" s="9"/>
    </row>
    <row r="8" spans="1:17">
      <c r="A8" s="24" t="s">
        <v>5</v>
      </c>
      <c r="B8" s="25"/>
      <c r="C8" s="22">
        <v>31150</v>
      </c>
      <c r="H8" s="40"/>
      <c r="I8" s="9"/>
      <c r="J8" s="9"/>
      <c r="K8" s="9"/>
      <c r="L8" s="9"/>
      <c r="M8" s="9"/>
      <c r="N8" s="9"/>
      <c r="O8" s="9"/>
      <c r="P8" s="9"/>
      <c r="Q8" s="9"/>
    </row>
    <row r="9" spans="1:17">
      <c r="A9" s="24" t="s">
        <v>25</v>
      </c>
      <c r="B9" s="25"/>
      <c r="C9" s="22">
        <f>793800/1.2</f>
        <v>661500</v>
      </c>
      <c r="H9" s="40"/>
      <c r="I9" s="9"/>
      <c r="J9" s="9"/>
      <c r="K9" s="9"/>
      <c r="L9" s="9"/>
      <c r="M9" s="9"/>
      <c r="N9" s="9"/>
      <c r="O9" s="9"/>
      <c r="P9" s="9"/>
      <c r="Q9" s="9"/>
    </row>
    <row r="10" spans="1:17" ht="15" customHeight="1">
      <c r="A10" s="24" t="s">
        <v>6</v>
      </c>
      <c r="B10" s="25"/>
      <c r="C10" s="22">
        <f>103680/1.2</f>
        <v>86400</v>
      </c>
      <c r="H10" s="40"/>
      <c r="I10" s="40"/>
      <c r="J10" s="8"/>
      <c r="K10" s="8"/>
      <c r="L10" s="8"/>
      <c r="M10" s="8"/>
      <c r="N10" s="8"/>
      <c r="O10" s="8"/>
      <c r="P10" s="9"/>
      <c r="Q10" s="9"/>
    </row>
    <row r="11" spans="1:17" ht="15" customHeight="1">
      <c r="A11" s="19" t="s">
        <v>7</v>
      </c>
      <c r="B11" s="26"/>
      <c r="C11" s="27">
        <f>SUM(C6:C10)</f>
        <v>5323559.711666666</v>
      </c>
      <c r="H11" s="6"/>
      <c r="I11" s="7"/>
      <c r="J11" s="8"/>
      <c r="K11" s="8"/>
      <c r="L11" s="8"/>
      <c r="M11" s="8"/>
      <c r="N11" s="8"/>
      <c r="O11" s="8"/>
      <c r="P11" s="9"/>
      <c r="Q11" s="9"/>
    </row>
    <row r="12" spans="1:17" ht="15" customHeight="1">
      <c r="A12" s="19"/>
      <c r="B12" s="26"/>
      <c r="C12" s="27"/>
      <c r="H12" s="6"/>
      <c r="I12" s="7"/>
      <c r="J12" s="8"/>
      <c r="K12" s="8"/>
      <c r="L12" s="8"/>
      <c r="M12" s="8"/>
      <c r="N12" s="8"/>
      <c r="O12" s="8"/>
      <c r="P12" s="9"/>
      <c r="Q12" s="9"/>
    </row>
    <row r="13" spans="1:17" ht="15" customHeight="1">
      <c r="A13" s="84" t="s">
        <v>8</v>
      </c>
      <c r="B13" s="85"/>
      <c r="C13" s="29"/>
      <c r="D13" s="4"/>
      <c r="E13" s="4"/>
      <c r="F13" s="4"/>
      <c r="H13" s="6"/>
      <c r="I13" s="7"/>
      <c r="J13" s="8"/>
      <c r="K13" s="8"/>
      <c r="L13" s="8"/>
      <c r="M13" s="8"/>
      <c r="N13" s="8"/>
      <c r="O13" s="8"/>
      <c r="P13" s="9"/>
      <c r="Q13" s="9"/>
    </row>
    <row r="14" spans="1:17" ht="15" customHeight="1">
      <c r="A14" s="86" t="s">
        <v>9</v>
      </c>
      <c r="B14" s="87"/>
      <c r="C14" s="22">
        <f>6178.52+601282.51+7566.6+2375</f>
        <v>617402.63</v>
      </c>
      <c r="D14" s="4"/>
      <c r="E14" s="4"/>
      <c r="F14" s="4"/>
      <c r="H14" s="6"/>
      <c r="I14" s="7"/>
      <c r="J14" s="8"/>
      <c r="K14" s="8"/>
      <c r="L14" s="8"/>
      <c r="M14" s="8"/>
      <c r="N14" s="8"/>
      <c r="O14" s="8"/>
      <c r="P14" s="9"/>
      <c r="Q14" s="9"/>
    </row>
    <row r="15" spans="1:17" ht="15" customHeight="1">
      <c r="A15" s="24" t="s">
        <v>10</v>
      </c>
      <c r="B15" s="25"/>
      <c r="C15" s="22">
        <f>7035.12/1.2</f>
        <v>5862.6</v>
      </c>
      <c r="D15" s="4"/>
      <c r="E15" s="4"/>
      <c r="F15" s="4"/>
      <c r="H15" s="6"/>
      <c r="I15" s="7"/>
      <c r="J15" s="8"/>
      <c r="K15" s="8"/>
      <c r="L15" s="8"/>
      <c r="M15" s="8"/>
      <c r="N15" s="8"/>
      <c r="O15" s="8"/>
      <c r="P15" s="9"/>
      <c r="Q15" s="9"/>
    </row>
    <row r="16" spans="1:17" ht="15" customHeight="1">
      <c r="A16" s="88" t="s">
        <v>11</v>
      </c>
      <c r="B16" s="81"/>
      <c r="C16" s="22">
        <f>2536.82/1.2+80</f>
        <v>2194.0166666666669</v>
      </c>
      <c r="D16" s="4"/>
      <c r="E16" s="4"/>
      <c r="F16" s="4"/>
      <c r="H16" s="6"/>
      <c r="I16" s="7"/>
      <c r="J16" s="8"/>
      <c r="K16" s="8"/>
      <c r="L16" s="8"/>
      <c r="M16" s="8"/>
      <c r="N16" s="8"/>
      <c r="O16" s="8"/>
      <c r="P16" s="9"/>
      <c r="Q16" s="9"/>
    </row>
    <row r="17" spans="1:17" ht="15" customHeight="1">
      <c r="A17" s="24" t="s">
        <v>16</v>
      </c>
      <c r="B17" s="25"/>
      <c r="C17" s="22">
        <f>75718.4+430173.72</f>
        <v>505892.12</v>
      </c>
      <c r="D17" s="4"/>
      <c r="E17" s="4"/>
      <c r="F17" s="4"/>
      <c r="H17" s="6"/>
      <c r="I17" s="7"/>
      <c r="J17" s="8"/>
      <c r="K17" s="8"/>
      <c r="L17" s="8"/>
      <c r="M17" s="8"/>
      <c r="N17" s="8"/>
      <c r="O17" s="8"/>
      <c r="P17" s="9"/>
      <c r="Q17" s="9"/>
    </row>
    <row r="18" spans="1:17" ht="15" customHeight="1">
      <c r="A18" s="24" t="s">
        <v>25</v>
      </c>
      <c r="B18" s="25"/>
      <c r="C18" s="22">
        <f>595350+66150</f>
        <v>661500</v>
      </c>
      <c r="D18" s="4"/>
      <c r="E18" s="4"/>
      <c r="F18" s="4"/>
      <c r="H18" s="6"/>
      <c r="I18" s="7"/>
      <c r="J18" s="8"/>
      <c r="K18" s="8"/>
      <c r="L18" s="8"/>
      <c r="M18" s="8"/>
      <c r="N18" s="8"/>
      <c r="O18" s="8"/>
      <c r="P18" s="9"/>
      <c r="Q18" s="9"/>
    </row>
    <row r="19" spans="1:17" ht="15" customHeight="1">
      <c r="A19" s="24" t="s">
        <v>12</v>
      </c>
      <c r="B19" s="25"/>
      <c r="C19" s="22">
        <f>97509.96</f>
        <v>97509.96</v>
      </c>
      <c r="D19" s="4"/>
      <c r="E19" s="4"/>
      <c r="F19" s="4"/>
      <c r="H19" s="6"/>
      <c r="I19" s="7"/>
      <c r="J19" s="8"/>
      <c r="K19" s="8"/>
      <c r="L19" s="8"/>
      <c r="M19" s="8"/>
      <c r="N19" s="8"/>
      <c r="O19" s="8"/>
      <c r="P19" s="9"/>
      <c r="Q19" s="9"/>
    </row>
    <row r="20" spans="1:17" ht="15" customHeight="1">
      <c r="A20" s="88" t="s">
        <v>13</v>
      </c>
      <c r="B20" s="81"/>
      <c r="C20" s="22">
        <v>959464.26</v>
      </c>
      <c r="D20" s="4"/>
      <c r="E20" s="4"/>
      <c r="F20" s="4"/>
      <c r="H20" s="6"/>
      <c r="I20" s="7"/>
      <c r="J20" s="8"/>
      <c r="K20" s="8"/>
      <c r="L20" s="8"/>
      <c r="M20" s="8"/>
      <c r="N20" s="8"/>
      <c r="O20" s="8"/>
      <c r="P20" s="9"/>
      <c r="Q20" s="9"/>
    </row>
    <row r="21" spans="1:17">
      <c r="A21" s="82" t="s">
        <v>14</v>
      </c>
      <c r="B21" s="83"/>
      <c r="C21" s="22">
        <v>1192322.58</v>
      </c>
      <c r="H21" s="40"/>
      <c r="I21" s="9"/>
      <c r="J21" s="9"/>
      <c r="K21" s="9"/>
      <c r="L21" s="9"/>
      <c r="M21" s="9"/>
      <c r="N21" s="9"/>
      <c r="O21" s="9"/>
      <c r="P21" s="9"/>
      <c r="Q21" s="9"/>
    </row>
    <row r="22" spans="1:17" ht="15" customHeight="1">
      <c r="A22" s="24" t="s">
        <v>18</v>
      </c>
      <c r="B22" s="25"/>
      <c r="C22" s="22">
        <f>472642.32</f>
        <v>472642.32</v>
      </c>
      <c r="D22" s="4"/>
      <c r="E22" s="4"/>
      <c r="F22" s="4"/>
      <c r="H22" s="18"/>
      <c r="I22" s="7"/>
      <c r="J22" s="8"/>
      <c r="K22" s="8"/>
      <c r="L22" s="8"/>
      <c r="M22" s="8"/>
      <c r="N22" s="8"/>
      <c r="O22" s="8"/>
      <c r="P22" s="9"/>
      <c r="Q22" s="9"/>
    </row>
    <row r="23" spans="1:17" ht="15" customHeight="1" thickBot="1">
      <c r="A23" s="89" t="s">
        <v>50</v>
      </c>
      <c r="B23" s="90"/>
      <c r="C23" s="32">
        <f>1148566.26-66150</f>
        <v>1082416.26</v>
      </c>
      <c r="D23" s="4"/>
      <c r="E23" s="4"/>
      <c r="F23" s="4"/>
      <c r="H23" s="6"/>
      <c r="I23" s="7"/>
      <c r="J23" s="8"/>
      <c r="K23" s="8"/>
      <c r="L23" s="8"/>
      <c r="M23" s="8"/>
      <c r="N23" s="8"/>
      <c r="O23" s="8"/>
      <c r="P23" s="9"/>
      <c r="Q23" s="9"/>
    </row>
    <row r="24" spans="1:17" ht="15" customHeight="1" thickBot="1">
      <c r="A24" s="97" t="s">
        <v>7</v>
      </c>
      <c r="B24" s="98"/>
      <c r="C24" s="43">
        <f>SUM(C14:C23)</f>
        <v>5597206.7466666671</v>
      </c>
      <c r="D24" s="4"/>
      <c r="E24" s="4"/>
      <c r="F24" s="4"/>
      <c r="H24" s="6"/>
      <c r="I24" s="7"/>
      <c r="J24" s="8"/>
      <c r="K24" s="8"/>
      <c r="L24" s="8"/>
      <c r="M24" s="8"/>
      <c r="N24" s="8"/>
      <c r="O24" s="8"/>
      <c r="P24" s="9"/>
      <c r="Q24" s="9"/>
    </row>
    <row r="25" spans="1:17" ht="5.25" customHeight="1" thickBot="1">
      <c r="A25" s="44"/>
      <c r="B25" s="45"/>
      <c r="C25" s="43"/>
      <c r="D25" s="4"/>
      <c r="E25" s="4"/>
      <c r="F25" s="4"/>
      <c r="H25" s="6"/>
      <c r="I25" s="7"/>
      <c r="J25" s="8"/>
      <c r="K25" s="8"/>
      <c r="L25" s="8"/>
      <c r="M25" s="8"/>
      <c r="N25" s="8"/>
      <c r="O25" s="8"/>
      <c r="P25" s="9"/>
      <c r="Q25" s="9"/>
    </row>
    <row r="26" spans="1:17" ht="16.5" thickBot="1"/>
    <row r="27" spans="1:17" ht="15" customHeight="1" thickBot="1">
      <c r="A27" s="11" t="s">
        <v>26</v>
      </c>
      <c r="B27" s="12"/>
      <c r="C27" s="13"/>
      <c r="D27" s="4"/>
      <c r="E27" s="4"/>
      <c r="F27" s="4"/>
      <c r="H27" s="6"/>
      <c r="I27" s="7"/>
      <c r="J27" s="8"/>
      <c r="K27" s="8"/>
      <c r="L27" s="8"/>
      <c r="M27" s="8"/>
      <c r="N27" s="8"/>
      <c r="O27" s="8"/>
      <c r="P27" s="9"/>
      <c r="Q27" s="9"/>
    </row>
    <row r="28" spans="1:17" ht="15" customHeight="1">
      <c r="A28" s="46" t="s">
        <v>1</v>
      </c>
      <c r="B28" s="47"/>
      <c r="C28" s="29"/>
      <c r="D28" s="4"/>
      <c r="E28" s="4"/>
      <c r="F28" s="4"/>
      <c r="H28" s="6"/>
      <c r="I28" s="7"/>
      <c r="J28" s="8"/>
      <c r="K28" s="8"/>
      <c r="L28" s="8"/>
      <c r="M28" s="8"/>
      <c r="N28" s="8"/>
      <c r="O28" s="8"/>
      <c r="P28" s="9"/>
      <c r="Q28" s="9"/>
    </row>
    <row r="29" spans="1:17" ht="15" customHeight="1">
      <c r="A29" s="19" t="s">
        <v>49</v>
      </c>
      <c r="B29" s="20"/>
      <c r="C29" s="21">
        <f>1299240.77-40440.78-59886.36-138637.64-128289.32+C30</f>
        <v>1267878.1566666663</v>
      </c>
      <c r="D29" s="4"/>
      <c r="E29" s="4"/>
      <c r="F29" s="4"/>
      <c r="H29" s="6"/>
      <c r="I29" s="7"/>
      <c r="J29" s="8"/>
      <c r="K29" s="8"/>
      <c r="L29" s="8"/>
      <c r="M29" s="8"/>
      <c r="N29" s="8"/>
      <c r="O29" s="8"/>
      <c r="P29" s="9"/>
      <c r="Q29" s="9"/>
    </row>
    <row r="30" spans="1:17" ht="15" customHeight="1">
      <c r="A30" s="19" t="s">
        <v>2</v>
      </c>
      <c r="B30" s="20"/>
      <c r="C30" s="21">
        <f>40440.78+59886.36/1.2+138637.64+128289.32/1.2</f>
        <v>335891.48666666669</v>
      </c>
      <c r="D30" s="4"/>
      <c r="E30" s="4"/>
      <c r="F30" s="4"/>
      <c r="H30" s="6"/>
      <c r="I30" s="7"/>
      <c r="J30" s="8"/>
      <c r="K30" s="8"/>
      <c r="L30" s="8"/>
      <c r="M30" s="8"/>
      <c r="N30" s="8"/>
      <c r="O30" s="8"/>
      <c r="P30" s="9"/>
      <c r="Q30" s="9"/>
    </row>
    <row r="31" spans="1:17" ht="15" customHeight="1">
      <c r="A31" s="88" t="s">
        <v>3</v>
      </c>
      <c r="B31" s="81"/>
      <c r="C31" s="22">
        <f>349245.6+514545.18/1.2+757645.44+675404.94/1.2</f>
        <v>2098516.1399999997</v>
      </c>
      <c r="D31" s="4"/>
      <c r="E31" s="4"/>
      <c r="F31" s="4"/>
      <c r="H31" s="6"/>
      <c r="I31" s="7"/>
      <c r="J31" s="8"/>
      <c r="K31" s="8"/>
      <c r="L31" s="8"/>
      <c r="M31" s="8"/>
      <c r="N31" s="8"/>
      <c r="O31" s="8"/>
      <c r="P31" s="9"/>
      <c r="Q31" s="9"/>
    </row>
    <row r="32" spans="1:17" ht="15" customHeight="1">
      <c r="A32" s="24" t="s">
        <v>4</v>
      </c>
      <c r="B32" s="25"/>
      <c r="C32" s="22">
        <f>15257.1+13600.92/1.2</f>
        <v>26591.200000000001</v>
      </c>
      <c r="D32" s="4"/>
      <c r="E32" s="4"/>
      <c r="F32" s="4"/>
      <c r="H32" s="6"/>
      <c r="I32" s="7"/>
      <c r="J32" s="8"/>
      <c r="K32" s="8"/>
      <c r="L32" s="8"/>
      <c r="M32" s="8"/>
      <c r="N32" s="8"/>
      <c r="O32" s="8"/>
      <c r="P32" s="9"/>
      <c r="Q32" s="9"/>
    </row>
    <row r="33" spans="1:17" ht="15" customHeight="1">
      <c r="A33" s="24" t="s">
        <v>5</v>
      </c>
      <c r="B33" s="25"/>
      <c r="C33" s="22">
        <f>17900</f>
        <v>17900</v>
      </c>
      <c r="D33" s="14"/>
      <c r="E33" s="4"/>
      <c r="F33" s="4"/>
      <c r="H33" s="40"/>
      <c r="I33" s="9"/>
      <c r="J33" s="9"/>
      <c r="K33" s="9"/>
      <c r="L33" s="9"/>
      <c r="M33" s="9"/>
      <c r="N33" s="9"/>
      <c r="O33" s="9"/>
      <c r="P33" s="9"/>
      <c r="Q33" s="9"/>
    </row>
    <row r="34" spans="1:17" ht="15" customHeight="1">
      <c r="A34" s="24" t="s">
        <v>6</v>
      </c>
      <c r="B34" s="25"/>
      <c r="C34" s="22">
        <f>59520/1.2</f>
        <v>49600</v>
      </c>
      <c r="D34" s="14"/>
      <c r="E34" s="4"/>
      <c r="F34" s="4"/>
      <c r="H34" s="40"/>
      <c r="I34" s="9"/>
      <c r="J34" s="9"/>
      <c r="K34" s="9"/>
      <c r="L34" s="9"/>
      <c r="M34" s="9"/>
      <c r="N34" s="9"/>
      <c r="O34" s="9"/>
      <c r="P34" s="9"/>
      <c r="Q34" s="9"/>
    </row>
    <row r="35" spans="1:17" ht="15" customHeight="1">
      <c r="A35" s="19" t="s">
        <v>7</v>
      </c>
      <c r="B35" s="26"/>
      <c r="C35" s="27">
        <f>SUM(C31:C34)</f>
        <v>2192607.34</v>
      </c>
      <c r="D35" s="14"/>
      <c r="E35" s="4"/>
      <c r="F35" s="4"/>
      <c r="H35" s="40"/>
      <c r="I35" s="9"/>
      <c r="J35" s="9"/>
      <c r="K35" s="9"/>
      <c r="L35" s="9"/>
      <c r="M35" s="9"/>
      <c r="N35" s="9"/>
      <c r="O35" s="9"/>
      <c r="P35" s="9"/>
      <c r="Q35" s="9"/>
    </row>
    <row r="36" spans="1:17" ht="15" customHeight="1">
      <c r="A36" s="19"/>
      <c r="B36" s="26"/>
      <c r="C36" s="27"/>
      <c r="D36" s="14"/>
      <c r="E36" s="4"/>
      <c r="F36" s="4"/>
      <c r="H36" s="40"/>
      <c r="I36" s="9"/>
      <c r="J36" s="9"/>
      <c r="K36" s="9"/>
      <c r="L36" s="9"/>
      <c r="M36" s="9"/>
      <c r="N36" s="9"/>
      <c r="O36" s="9"/>
      <c r="P36" s="9"/>
      <c r="Q36" s="9"/>
    </row>
    <row r="37" spans="1:17" ht="15" customHeight="1">
      <c r="A37" s="84" t="s">
        <v>8</v>
      </c>
      <c r="B37" s="85"/>
      <c r="C37" s="29"/>
      <c r="E37" s="14"/>
      <c r="F37" s="14"/>
      <c r="G37" s="14"/>
    </row>
    <row r="38" spans="1:17" ht="15" customHeight="1">
      <c r="A38" s="86" t="s">
        <v>9</v>
      </c>
      <c r="B38" s="87"/>
      <c r="C38" s="22">
        <f>300149.75+3724+4000</f>
        <v>307873.75</v>
      </c>
      <c r="D38" s="4"/>
      <c r="E38" s="4"/>
      <c r="F38" s="4"/>
      <c r="H38" s="6"/>
      <c r="I38" s="7"/>
      <c r="J38" s="8"/>
      <c r="K38" s="8"/>
      <c r="L38" s="8"/>
      <c r="M38" s="8"/>
      <c r="N38" s="8"/>
      <c r="O38" s="8"/>
      <c r="P38" s="9"/>
      <c r="Q38" s="9"/>
    </row>
    <row r="39" spans="1:17" ht="15" customHeight="1">
      <c r="A39" s="24" t="s">
        <v>11</v>
      </c>
      <c r="B39" s="25"/>
      <c r="C39" s="22">
        <f>9120/1.2+80</f>
        <v>7680</v>
      </c>
      <c r="D39" s="4"/>
      <c r="E39" s="4"/>
      <c r="F39" s="4"/>
      <c r="H39" s="6"/>
      <c r="I39" s="7"/>
      <c r="J39" s="8"/>
      <c r="K39" s="8"/>
      <c r="L39" s="8"/>
      <c r="M39" s="8"/>
      <c r="N39" s="8"/>
      <c r="O39" s="8"/>
      <c r="P39" s="9"/>
      <c r="Q39" s="9"/>
    </row>
    <row r="40" spans="1:17" ht="15" customHeight="1">
      <c r="A40" s="24" t="s">
        <v>16</v>
      </c>
      <c r="B40" s="25"/>
      <c r="C40" s="22">
        <f>37797.31+215401.88</f>
        <v>253199.19</v>
      </c>
      <c r="D40" s="4"/>
      <c r="E40" s="4"/>
      <c r="F40" s="4"/>
      <c r="H40" s="6"/>
      <c r="I40" s="7"/>
      <c r="J40" s="8"/>
      <c r="K40" s="8"/>
      <c r="L40" s="8"/>
      <c r="M40" s="8"/>
      <c r="N40" s="8"/>
      <c r="O40" s="8"/>
      <c r="P40" s="9"/>
      <c r="Q40" s="9"/>
    </row>
    <row r="41" spans="1:17" ht="15" customHeight="1">
      <c r="A41" s="88" t="s">
        <v>15</v>
      </c>
      <c r="B41" s="81"/>
      <c r="C41" s="22">
        <f>13396.32</f>
        <v>13396.32</v>
      </c>
      <c r="D41" s="4"/>
      <c r="E41" s="4"/>
      <c r="F41" s="4"/>
      <c r="H41" s="6"/>
      <c r="I41" s="7"/>
      <c r="J41" s="8"/>
      <c r="K41" s="8"/>
      <c r="L41" s="8"/>
      <c r="M41" s="8"/>
      <c r="N41" s="8"/>
      <c r="O41" s="8"/>
      <c r="P41" s="9"/>
      <c r="Q41" s="9"/>
    </row>
    <row r="42" spans="1:17" ht="15" customHeight="1">
      <c r="A42" s="24" t="s">
        <v>12</v>
      </c>
      <c r="B42" s="25"/>
      <c r="C42" s="22">
        <f>53264.16</f>
        <v>53264.160000000003</v>
      </c>
      <c r="D42" s="4"/>
      <c r="E42" s="4"/>
      <c r="F42" s="4"/>
      <c r="H42" s="6"/>
      <c r="I42" s="7"/>
      <c r="J42" s="8"/>
      <c r="K42" s="8"/>
      <c r="L42" s="8"/>
      <c r="M42" s="8"/>
      <c r="N42" s="8"/>
      <c r="O42" s="8"/>
      <c r="P42" s="9"/>
      <c r="Q42" s="9"/>
    </row>
    <row r="43" spans="1:17" ht="15" customHeight="1">
      <c r="A43" s="88" t="s">
        <v>13</v>
      </c>
      <c r="B43" s="81"/>
      <c r="C43" s="22">
        <f>282877.86</f>
        <v>282877.86</v>
      </c>
      <c r="D43" s="4"/>
      <c r="E43" s="4"/>
      <c r="F43" s="4"/>
      <c r="H43" s="6"/>
      <c r="I43" s="7"/>
      <c r="J43" s="8"/>
      <c r="K43" s="8"/>
      <c r="L43" s="8"/>
      <c r="M43" s="8"/>
      <c r="N43" s="8"/>
      <c r="O43" s="8"/>
      <c r="P43" s="9"/>
      <c r="Q43" s="9"/>
    </row>
    <row r="44" spans="1:17" ht="15" customHeight="1">
      <c r="A44" s="82" t="s">
        <v>14</v>
      </c>
      <c r="B44" s="83"/>
      <c r="C44" s="22">
        <f>613867.2</f>
        <v>613867.19999999995</v>
      </c>
      <c r="D44" s="4"/>
      <c r="E44" s="4"/>
      <c r="F44" s="4"/>
      <c r="H44" s="6"/>
      <c r="I44" s="7"/>
      <c r="J44" s="8"/>
      <c r="K44" s="8"/>
      <c r="L44" s="8"/>
      <c r="M44" s="8"/>
      <c r="N44" s="8"/>
      <c r="O44" s="8"/>
      <c r="P44" s="9"/>
      <c r="Q44" s="9"/>
    </row>
    <row r="45" spans="1:17" ht="15" customHeight="1">
      <c r="A45" s="88" t="s">
        <v>18</v>
      </c>
      <c r="B45" s="81"/>
      <c r="C45" s="22">
        <f>227352.36</f>
        <v>227352.36</v>
      </c>
      <c r="D45" s="4"/>
      <c r="E45" s="4"/>
      <c r="F45" s="4"/>
      <c r="H45" s="6"/>
      <c r="I45" s="7"/>
      <c r="J45" s="8"/>
      <c r="K45" s="8"/>
      <c r="L45" s="8"/>
      <c r="M45" s="8"/>
      <c r="N45" s="8"/>
      <c r="O45" s="8"/>
      <c r="P45" s="9"/>
      <c r="Q45" s="9"/>
    </row>
    <row r="46" spans="1:17" ht="15" customHeight="1" thickBot="1">
      <c r="A46" s="41" t="s">
        <v>19</v>
      </c>
      <c r="B46" s="42"/>
      <c r="C46" s="32">
        <v>573344.26</v>
      </c>
      <c r="D46" s="4"/>
      <c r="E46" s="4"/>
      <c r="F46" s="4"/>
      <c r="H46" s="6"/>
      <c r="I46" s="7"/>
      <c r="J46" s="8"/>
      <c r="K46" s="8"/>
      <c r="L46" s="8"/>
      <c r="M46" s="8"/>
      <c r="N46" s="8"/>
      <c r="O46" s="8"/>
      <c r="P46" s="9"/>
      <c r="Q46" s="9"/>
    </row>
    <row r="47" spans="1:17" ht="15" customHeight="1" thickBot="1">
      <c r="A47" s="91" t="s">
        <v>27</v>
      </c>
      <c r="B47" s="92"/>
      <c r="C47" s="3">
        <f>SUM(C38:C46)</f>
        <v>2332855.0999999996</v>
      </c>
      <c r="D47" s="4"/>
      <c r="E47" s="4"/>
      <c r="F47" s="4"/>
      <c r="H47" s="6"/>
      <c r="I47" s="7"/>
      <c r="J47" s="8"/>
      <c r="K47" s="8"/>
      <c r="L47" s="8"/>
      <c r="M47" s="8"/>
      <c r="N47" s="8"/>
      <c r="O47" s="8"/>
      <c r="P47" s="9"/>
      <c r="Q47" s="9"/>
    </row>
    <row r="48" spans="1:17" ht="6.75" customHeight="1" thickBot="1">
      <c r="A48" s="48"/>
      <c r="B48" s="49"/>
      <c r="C48" s="3"/>
      <c r="D48" s="4"/>
      <c r="E48" s="4"/>
      <c r="F48" s="4"/>
      <c r="H48" s="6"/>
      <c r="I48" s="7"/>
      <c r="J48" s="8"/>
      <c r="K48" s="8"/>
      <c r="L48" s="8"/>
      <c r="M48" s="8"/>
      <c r="N48" s="8"/>
      <c r="O48" s="8"/>
      <c r="P48" s="9"/>
      <c r="Q48" s="9"/>
    </row>
    <row r="49" spans="1:17" ht="15" customHeight="1" thickBot="1">
      <c r="A49" s="24"/>
      <c r="B49" s="25"/>
      <c r="C49" s="23"/>
      <c r="D49" s="4"/>
      <c r="E49" s="25"/>
      <c r="F49" s="25"/>
      <c r="G49" s="23"/>
      <c r="H49" s="6"/>
      <c r="I49" s="7"/>
      <c r="J49" s="8"/>
      <c r="K49" s="8"/>
      <c r="L49" s="8"/>
      <c r="M49" s="8"/>
      <c r="N49" s="8"/>
      <c r="O49" s="8"/>
      <c r="P49" s="9"/>
      <c r="Q49" s="9"/>
    </row>
    <row r="50" spans="1:17" ht="15" customHeight="1" thickBot="1">
      <c r="A50" s="11" t="s">
        <v>28</v>
      </c>
      <c r="B50" s="12"/>
      <c r="C50" s="13"/>
      <c r="D50" s="14"/>
      <c r="E50" s="14"/>
      <c r="F50" s="14"/>
      <c r="G50" s="4"/>
      <c r="H50" s="40"/>
      <c r="I50" s="9"/>
      <c r="J50" s="9"/>
      <c r="K50" s="9"/>
      <c r="L50" s="9"/>
      <c r="M50" s="9"/>
      <c r="N50" s="9"/>
      <c r="O50" s="9"/>
      <c r="P50" s="9"/>
    </row>
    <row r="51" spans="1:17" ht="15" customHeight="1">
      <c r="A51" s="37" t="s">
        <v>1</v>
      </c>
      <c r="B51" s="38"/>
      <c r="C51" s="50"/>
      <c r="D51" s="14"/>
      <c r="E51" s="4"/>
      <c r="F51" s="4"/>
    </row>
    <row r="52" spans="1:17" ht="15" customHeight="1">
      <c r="A52" s="19" t="s">
        <v>49</v>
      </c>
      <c r="B52" s="20"/>
      <c r="C52" s="21">
        <f>355902.3-57284.26-51596.73+C53</f>
        <v>347302.84499999997</v>
      </c>
      <c r="D52" s="14"/>
      <c r="E52" s="4"/>
      <c r="F52" s="4"/>
    </row>
    <row r="53" spans="1:17" ht="15" customHeight="1">
      <c r="A53" s="19" t="s">
        <v>2</v>
      </c>
      <c r="B53" s="20"/>
      <c r="C53" s="21">
        <f>57284.26+51596.73/1.2</f>
        <v>100281.535</v>
      </c>
      <c r="D53" s="14"/>
      <c r="E53" s="4"/>
      <c r="F53" s="4"/>
    </row>
    <row r="54" spans="1:17" ht="15" customHeight="1">
      <c r="A54" s="88" t="s">
        <v>3</v>
      </c>
      <c r="B54" s="81"/>
      <c r="C54" s="22">
        <f>555859.56+495522.24/1.2</f>
        <v>968794.76</v>
      </c>
      <c r="D54" s="14"/>
      <c r="E54" s="4"/>
      <c r="F54" s="4"/>
    </row>
    <row r="55" spans="1:17" ht="15" customHeight="1">
      <c r="A55" s="88" t="s">
        <v>4</v>
      </c>
      <c r="B55" s="81"/>
      <c r="C55" s="22">
        <f>102739.68/1.2+91587.6/1.2</f>
        <v>161939.40000000002</v>
      </c>
      <c r="D55" s="14"/>
      <c r="E55" s="4"/>
      <c r="F55" s="4"/>
    </row>
    <row r="56" spans="1:17" ht="15" customHeight="1">
      <c r="A56" s="24" t="s">
        <v>6</v>
      </c>
      <c r="B56" s="25"/>
      <c r="C56" s="22">
        <f>23040/1.2</f>
        <v>19200</v>
      </c>
      <c r="D56" s="14"/>
      <c r="E56" s="4"/>
      <c r="F56" s="4"/>
    </row>
    <row r="57" spans="1:17" ht="15" customHeight="1">
      <c r="A57" s="24" t="s">
        <v>5</v>
      </c>
      <c r="B57" s="25"/>
      <c r="C57" s="22">
        <v>15650</v>
      </c>
      <c r="D57" s="14"/>
      <c r="E57" s="14"/>
      <c r="F57" s="14"/>
      <c r="G57" s="14"/>
    </row>
    <row r="58" spans="1:17">
      <c r="A58" s="19" t="s">
        <v>7</v>
      </c>
      <c r="B58" s="26"/>
      <c r="C58" s="27">
        <f>SUM(C54:C57)</f>
        <v>1165584.1600000001</v>
      </c>
      <c r="D58" s="14"/>
      <c r="E58" s="14"/>
      <c r="F58" s="14"/>
      <c r="G58" s="14"/>
      <c r="H58" s="6"/>
    </row>
    <row r="59" spans="1:17">
      <c r="A59" s="19"/>
      <c r="B59" s="26"/>
      <c r="C59" s="27"/>
      <c r="D59" s="14"/>
      <c r="E59" s="14"/>
      <c r="F59" s="14"/>
      <c r="G59" s="14"/>
      <c r="H59" s="6"/>
    </row>
    <row r="60" spans="1:17">
      <c r="A60" s="84" t="s">
        <v>8</v>
      </c>
      <c r="B60" s="85"/>
      <c r="C60" s="29"/>
      <c r="E60" s="14"/>
      <c r="F60" s="14"/>
      <c r="G60" s="14"/>
      <c r="H60" s="18"/>
    </row>
    <row r="61" spans="1:17" ht="15" customHeight="1">
      <c r="A61" s="86" t="s">
        <v>9</v>
      </c>
      <c r="B61" s="87"/>
      <c r="C61" s="22">
        <f>160159.86+4519.01+8201.58</f>
        <v>172880.44999999998</v>
      </c>
      <c r="D61" s="4"/>
      <c r="E61" s="4"/>
      <c r="F61" s="4"/>
      <c r="H61" s="6"/>
      <c r="I61" s="7"/>
      <c r="J61" s="8"/>
      <c r="K61" s="8"/>
      <c r="L61" s="8"/>
      <c r="M61" s="8"/>
      <c r="N61" s="8"/>
      <c r="O61" s="8"/>
      <c r="P61" s="9"/>
      <c r="Q61" s="9"/>
    </row>
    <row r="62" spans="1:17" ht="15" customHeight="1">
      <c r="A62" s="24" t="s">
        <v>11</v>
      </c>
      <c r="B62" s="25"/>
      <c r="C62" s="22">
        <f>1268.41/1.2</f>
        <v>1057.0083333333334</v>
      </c>
      <c r="D62" s="4"/>
      <c r="E62" s="4"/>
      <c r="F62" s="4"/>
      <c r="H62" s="6"/>
      <c r="I62" s="7"/>
      <c r="J62" s="8"/>
      <c r="K62" s="8"/>
      <c r="L62" s="8"/>
      <c r="M62" s="8"/>
      <c r="N62" s="8"/>
      <c r="O62" s="8"/>
      <c r="P62" s="9"/>
      <c r="Q62" s="9"/>
    </row>
    <row r="63" spans="1:17" ht="15" customHeight="1">
      <c r="A63" s="88" t="s">
        <v>15</v>
      </c>
      <c r="B63" s="81"/>
      <c r="C63" s="22">
        <v>7072.44</v>
      </c>
      <c r="D63" s="4"/>
      <c r="E63" s="4"/>
      <c r="F63" s="4"/>
      <c r="H63" s="6"/>
      <c r="I63" s="7"/>
      <c r="J63" s="8"/>
      <c r="K63" s="8"/>
      <c r="L63" s="8"/>
      <c r="M63" s="8"/>
      <c r="N63" s="8"/>
      <c r="O63" s="8"/>
      <c r="P63" s="9"/>
      <c r="Q63" s="9"/>
    </row>
    <row r="64" spans="1:17" ht="15" customHeight="1">
      <c r="A64" s="24" t="s">
        <v>12</v>
      </c>
      <c r="B64" s="25"/>
      <c r="C64" s="22">
        <f>23253.36</f>
        <v>23253.360000000001</v>
      </c>
      <c r="D64" s="4"/>
      <c r="E64" s="4"/>
      <c r="F64" s="4"/>
      <c r="H64" s="6"/>
      <c r="I64" s="7"/>
      <c r="J64" s="8"/>
      <c r="K64" s="8"/>
      <c r="L64" s="8"/>
      <c r="M64" s="8"/>
      <c r="N64" s="8"/>
      <c r="O64" s="8"/>
      <c r="P64" s="9"/>
      <c r="Q64" s="9"/>
    </row>
    <row r="65" spans="1:17" ht="15" customHeight="1">
      <c r="A65" s="88" t="s">
        <v>13</v>
      </c>
      <c r="B65" s="81"/>
      <c r="C65" s="22">
        <f>246048.18</f>
        <v>246048.18</v>
      </c>
      <c r="D65" s="4"/>
      <c r="E65" s="4"/>
      <c r="F65" s="4"/>
      <c r="H65" s="6"/>
      <c r="I65" s="7"/>
      <c r="J65" s="8"/>
      <c r="K65" s="8"/>
      <c r="L65" s="8"/>
      <c r="M65" s="8"/>
      <c r="N65" s="8"/>
      <c r="O65" s="8"/>
      <c r="P65" s="9"/>
      <c r="Q65" s="9"/>
    </row>
    <row r="66" spans="1:17" ht="15" customHeight="1">
      <c r="A66" s="82" t="s">
        <v>14</v>
      </c>
      <c r="B66" s="83"/>
      <c r="C66" s="22">
        <f>304477.02</f>
        <v>304477.02</v>
      </c>
      <c r="D66" s="4"/>
      <c r="E66" s="4"/>
      <c r="F66" s="4"/>
      <c r="H66" s="6"/>
      <c r="I66" s="7"/>
      <c r="J66" s="8"/>
      <c r="K66" s="8"/>
      <c r="L66" s="8"/>
      <c r="M66" s="8"/>
      <c r="N66" s="8"/>
      <c r="O66" s="8"/>
      <c r="P66" s="9"/>
      <c r="Q66" s="9"/>
    </row>
    <row r="67" spans="1:17" ht="15" customHeight="1">
      <c r="A67" s="30" t="s">
        <v>17</v>
      </c>
      <c r="B67" s="31"/>
      <c r="C67" s="22">
        <v>14387.55</v>
      </c>
      <c r="D67" s="4"/>
      <c r="E67" s="4"/>
      <c r="F67" s="4"/>
      <c r="H67" s="6"/>
      <c r="I67" s="7"/>
      <c r="J67" s="8"/>
      <c r="K67" s="8"/>
      <c r="L67" s="8"/>
      <c r="M67" s="8"/>
      <c r="N67" s="8"/>
      <c r="O67" s="8"/>
      <c r="P67" s="9"/>
      <c r="Q67" s="9"/>
    </row>
    <row r="68" spans="1:17" ht="15" customHeight="1">
      <c r="A68" s="88" t="s">
        <v>16</v>
      </c>
      <c r="B68" s="81"/>
      <c r="C68" s="22">
        <f>20168.64+154499.4+3445+4378.67</f>
        <v>182491.71</v>
      </c>
      <c r="D68" s="4"/>
      <c r="E68" s="4"/>
      <c r="F68" s="4"/>
      <c r="H68" s="6"/>
      <c r="I68" s="7"/>
      <c r="J68" s="8"/>
      <c r="K68" s="8"/>
      <c r="L68" s="8"/>
      <c r="M68" s="8"/>
      <c r="N68" s="8"/>
      <c r="O68" s="8"/>
      <c r="P68" s="9"/>
      <c r="Q68" s="9"/>
    </row>
    <row r="69" spans="1:17" ht="15" customHeight="1">
      <c r="A69" s="88" t="s">
        <v>18</v>
      </c>
      <c r="B69" s="81"/>
      <c r="C69" s="22">
        <f>134710.76</f>
        <v>134710.76</v>
      </c>
      <c r="D69" s="4"/>
      <c r="E69" s="4"/>
      <c r="F69" s="4"/>
      <c r="H69" s="6"/>
      <c r="I69" s="7"/>
      <c r="J69" s="8"/>
      <c r="K69" s="8"/>
      <c r="L69" s="8"/>
      <c r="M69" s="8"/>
      <c r="N69" s="8"/>
      <c r="O69" s="8"/>
      <c r="P69" s="9"/>
      <c r="Q69" s="9"/>
    </row>
    <row r="70" spans="1:17" ht="15" customHeight="1" thickBot="1">
      <c r="A70" s="41" t="s">
        <v>19</v>
      </c>
      <c r="B70" s="42"/>
      <c r="C70" s="32">
        <v>305936.40999999997</v>
      </c>
      <c r="D70" s="4"/>
      <c r="E70" s="4"/>
      <c r="F70" s="4"/>
      <c r="H70" s="6"/>
      <c r="I70" s="7"/>
      <c r="J70" s="8"/>
      <c r="K70" s="8"/>
      <c r="L70" s="8"/>
      <c r="M70" s="8"/>
      <c r="N70" s="8"/>
      <c r="O70" s="8"/>
      <c r="P70" s="9"/>
      <c r="Q70" s="9"/>
    </row>
    <row r="71" spans="1:17" ht="15" customHeight="1" thickBot="1">
      <c r="A71" s="95" t="s">
        <v>7</v>
      </c>
      <c r="B71" s="96"/>
      <c r="C71" s="43">
        <f>SUM(C61:C70)</f>
        <v>1392314.8883333332</v>
      </c>
      <c r="D71" s="4"/>
      <c r="E71" s="4"/>
      <c r="F71" s="4"/>
      <c r="H71" s="6"/>
      <c r="I71" s="7"/>
      <c r="J71" s="8"/>
      <c r="K71" s="8"/>
      <c r="L71" s="8"/>
      <c r="M71" s="8"/>
      <c r="N71" s="8"/>
      <c r="O71" s="8"/>
      <c r="P71" s="9"/>
      <c r="Q71" s="9"/>
    </row>
    <row r="72" spans="1:17" ht="4.5" customHeight="1" thickBot="1">
      <c r="A72" s="51"/>
      <c r="B72" s="52"/>
      <c r="C72" s="43"/>
      <c r="D72" s="4"/>
      <c r="E72" s="4"/>
      <c r="F72" s="4"/>
      <c r="H72" s="6"/>
      <c r="I72" s="7"/>
      <c r="J72" s="8"/>
      <c r="K72" s="8"/>
      <c r="L72" s="8"/>
      <c r="M72" s="8"/>
      <c r="N72" s="8"/>
      <c r="O72" s="8"/>
      <c r="P72" s="9"/>
      <c r="Q72" s="9"/>
    </row>
    <row r="73" spans="1:17" ht="16.5" thickBot="1"/>
    <row r="74" spans="1:17" ht="16.5" thickBot="1">
      <c r="A74" s="11" t="s">
        <v>29</v>
      </c>
      <c r="B74" s="12"/>
      <c r="C74" s="13"/>
      <c r="D74" s="14"/>
      <c r="E74" s="14"/>
      <c r="F74" s="14"/>
      <c r="G74" s="14"/>
    </row>
    <row r="75" spans="1:17">
      <c r="A75" s="15" t="s">
        <v>1</v>
      </c>
      <c r="B75" s="16"/>
      <c r="C75" s="29"/>
      <c r="D75" s="14"/>
      <c r="E75" s="14"/>
      <c r="F75" s="14"/>
      <c r="G75" s="14"/>
    </row>
    <row r="76" spans="1:17">
      <c r="A76" s="19" t="s">
        <v>49</v>
      </c>
      <c r="B76" s="20"/>
      <c r="C76" s="21">
        <f>553722.1-848.32+47644.46+70563.31+27215.06+24088.87-C77</f>
        <v>567942.21000000008</v>
      </c>
      <c r="D76" s="14"/>
      <c r="E76" s="14"/>
      <c r="F76" s="14"/>
      <c r="G76" s="14"/>
    </row>
    <row r="77" spans="1:17">
      <c r="A77" s="19" t="s">
        <v>2</v>
      </c>
      <c r="B77" s="20"/>
      <c r="C77" s="21">
        <f>848.32/1.2+47644.46+70563.31/1.2+27215.06+24088.87/1.2</f>
        <v>154443.27000000002</v>
      </c>
      <c r="D77" s="14"/>
      <c r="E77" s="14"/>
      <c r="F77" s="14"/>
      <c r="G77" s="14"/>
    </row>
    <row r="78" spans="1:17">
      <c r="A78" s="88" t="s">
        <v>3</v>
      </c>
      <c r="B78" s="81"/>
      <c r="C78" s="22">
        <f>458944.2+676164.36/1.2+278936.28+248658.66/1.2</f>
        <v>1508566.33</v>
      </c>
      <c r="D78" s="14"/>
      <c r="E78" s="14"/>
      <c r="F78" s="14"/>
      <c r="G78" s="14"/>
    </row>
    <row r="79" spans="1:17">
      <c r="A79" s="88" t="s">
        <v>4</v>
      </c>
      <c r="B79" s="81"/>
      <c r="C79" s="22">
        <f>9395.2/1.2+39731.64+35418.78/1.2</f>
        <v>77076.623333333337</v>
      </c>
      <c r="D79" s="14"/>
      <c r="E79" s="14"/>
      <c r="F79" s="14"/>
      <c r="G79" s="14"/>
    </row>
    <row r="80" spans="1:17">
      <c r="A80" s="24" t="s">
        <v>6</v>
      </c>
      <c r="B80" s="25"/>
      <c r="C80" s="22">
        <f>42240/1.2</f>
        <v>35200</v>
      </c>
      <c r="D80" s="14"/>
      <c r="E80" s="14"/>
      <c r="F80" s="14"/>
      <c r="G80" s="14"/>
    </row>
    <row r="81" spans="1:17">
      <c r="A81" s="24" t="s">
        <v>5</v>
      </c>
      <c r="B81" s="25"/>
      <c r="C81" s="22">
        <v>13400</v>
      </c>
      <c r="D81" s="14"/>
      <c r="E81" s="14"/>
      <c r="F81" s="14"/>
      <c r="G81" s="14"/>
    </row>
    <row r="82" spans="1:17">
      <c r="A82" s="19" t="s">
        <v>7</v>
      </c>
      <c r="B82" s="26"/>
      <c r="C82" s="27">
        <f>SUM(C78:C81)</f>
        <v>1634242.9533333334</v>
      </c>
      <c r="D82" s="14"/>
      <c r="E82" s="14"/>
      <c r="F82" s="14"/>
      <c r="G82" s="14"/>
    </row>
    <row r="83" spans="1:17">
      <c r="A83" s="19"/>
      <c r="B83" s="26"/>
      <c r="C83" s="27"/>
      <c r="D83" s="14"/>
      <c r="E83" s="14"/>
      <c r="F83" s="14"/>
      <c r="G83" s="14"/>
    </row>
    <row r="84" spans="1:17">
      <c r="A84" s="84" t="s">
        <v>8</v>
      </c>
      <c r="B84" s="85"/>
      <c r="C84" s="29"/>
      <c r="E84" s="14"/>
      <c r="F84" s="14"/>
      <c r="G84" s="14"/>
    </row>
    <row r="85" spans="1:17" ht="15" customHeight="1">
      <c r="A85" s="86" t="s">
        <v>9</v>
      </c>
      <c r="B85" s="87"/>
      <c r="C85" s="22">
        <f>244087.32+4581.16+5566.6</f>
        <v>254235.08000000002</v>
      </c>
      <c r="D85" s="4"/>
      <c r="E85" s="4"/>
      <c r="F85" s="4"/>
      <c r="H85" s="18"/>
      <c r="I85" s="7"/>
      <c r="J85" s="8"/>
      <c r="K85" s="8"/>
      <c r="L85" s="8"/>
      <c r="M85" s="8"/>
      <c r="N85" s="8"/>
      <c r="O85" s="8"/>
      <c r="P85" s="9"/>
      <c r="Q85" s="9"/>
    </row>
    <row r="86" spans="1:17" ht="15" customHeight="1">
      <c r="A86" s="24" t="s">
        <v>11</v>
      </c>
      <c r="B86" s="25"/>
      <c r="C86" s="22">
        <f>1268.41/1.2</f>
        <v>1057.0083333333334</v>
      </c>
      <c r="D86" s="4"/>
      <c r="E86" s="4"/>
      <c r="F86" s="4"/>
      <c r="H86" s="18"/>
      <c r="I86" s="7"/>
      <c r="J86" s="8"/>
      <c r="K86" s="8"/>
      <c r="L86" s="8"/>
      <c r="M86" s="8"/>
      <c r="N86" s="8"/>
      <c r="O86" s="8"/>
      <c r="P86" s="9"/>
      <c r="Q86" s="9"/>
    </row>
    <row r="87" spans="1:17" ht="15" customHeight="1">
      <c r="A87" s="24" t="s">
        <v>16</v>
      </c>
      <c r="B87" s="25"/>
      <c r="C87" s="22">
        <f>30737.47+168852.8</f>
        <v>199590.27</v>
      </c>
      <c r="D87" s="4"/>
      <c r="E87" s="4"/>
      <c r="F87" s="4"/>
      <c r="H87" s="18"/>
      <c r="I87" s="7"/>
      <c r="J87" s="8"/>
      <c r="K87" s="8"/>
      <c r="L87" s="8"/>
      <c r="M87" s="8"/>
      <c r="N87" s="8"/>
      <c r="O87" s="8"/>
      <c r="P87" s="9"/>
      <c r="Q87" s="9"/>
    </row>
    <row r="88" spans="1:17" ht="15" customHeight="1">
      <c r="A88" s="88" t="s">
        <v>15</v>
      </c>
      <c r="B88" s="81"/>
      <c r="C88" s="22">
        <f>10300.08</f>
        <v>10300.08</v>
      </c>
      <c r="D88" s="4"/>
      <c r="E88" s="4"/>
      <c r="F88" s="4"/>
      <c r="H88" s="6"/>
      <c r="I88" s="7"/>
      <c r="J88" s="8"/>
      <c r="K88" s="8"/>
      <c r="L88" s="8"/>
      <c r="M88" s="8"/>
      <c r="N88" s="8"/>
      <c r="O88" s="8"/>
      <c r="P88" s="9"/>
      <c r="Q88" s="9"/>
    </row>
    <row r="89" spans="1:17" ht="15" customHeight="1">
      <c r="A89" s="24" t="s">
        <v>12</v>
      </c>
      <c r="B89" s="25"/>
      <c r="C89" s="22">
        <v>39291.24</v>
      </c>
      <c r="D89" s="4"/>
      <c r="E89" s="4"/>
      <c r="F89" s="4"/>
      <c r="H89" s="6"/>
      <c r="I89" s="7"/>
      <c r="J89" s="8"/>
      <c r="K89" s="8"/>
      <c r="L89" s="8"/>
      <c r="M89" s="8"/>
      <c r="N89" s="8"/>
      <c r="O89" s="8"/>
      <c r="P89" s="9"/>
      <c r="Q89" s="9"/>
    </row>
    <row r="90" spans="1:17" ht="15" customHeight="1">
      <c r="A90" s="88" t="s">
        <v>13</v>
      </c>
      <c r="B90" s="81"/>
      <c r="C90" s="22">
        <v>112726.74</v>
      </c>
      <c r="D90" s="4"/>
      <c r="E90" s="4"/>
      <c r="F90" s="4"/>
      <c r="H90" s="6"/>
      <c r="I90" s="7"/>
      <c r="J90" s="8"/>
      <c r="K90" s="8"/>
      <c r="L90" s="8"/>
      <c r="M90" s="8"/>
      <c r="N90" s="8"/>
      <c r="O90" s="8"/>
      <c r="P90" s="9"/>
      <c r="Q90" s="9"/>
    </row>
    <row r="91" spans="1:17" ht="15" customHeight="1">
      <c r="A91" s="82" t="s">
        <v>14</v>
      </c>
      <c r="B91" s="83"/>
      <c r="C91" s="22">
        <f>491819.76</f>
        <v>491819.76</v>
      </c>
      <c r="D91" s="4"/>
      <c r="E91" s="4"/>
      <c r="F91" s="4"/>
      <c r="H91" s="6"/>
      <c r="I91" s="7"/>
      <c r="J91" s="8"/>
      <c r="K91" s="8"/>
      <c r="L91" s="8"/>
      <c r="M91" s="8"/>
      <c r="N91" s="8"/>
      <c r="O91" s="8"/>
      <c r="P91" s="9"/>
      <c r="Q91" s="9"/>
    </row>
    <row r="92" spans="1:17" ht="15" customHeight="1">
      <c r="A92" s="88" t="s">
        <v>18</v>
      </c>
      <c r="B92" s="81"/>
      <c r="C92" s="22">
        <f>172980.72</f>
        <v>172980.72</v>
      </c>
      <c r="D92" s="4"/>
      <c r="E92" s="4"/>
      <c r="F92" s="4"/>
      <c r="H92" s="6"/>
      <c r="I92" s="7"/>
      <c r="J92" s="8"/>
      <c r="K92" s="8"/>
      <c r="L92" s="8"/>
      <c r="M92" s="8"/>
      <c r="N92" s="8"/>
      <c r="O92" s="8"/>
      <c r="P92" s="9"/>
      <c r="Q92" s="9"/>
    </row>
    <row r="93" spans="1:17" ht="15" customHeight="1" thickBot="1">
      <c r="A93" s="41" t="s">
        <v>19</v>
      </c>
      <c r="B93" s="42"/>
      <c r="C93" s="32">
        <v>466254.14</v>
      </c>
      <c r="D93" s="4"/>
      <c r="E93" s="4"/>
      <c r="F93" s="4"/>
      <c r="H93" s="6"/>
      <c r="I93" s="7"/>
      <c r="J93" s="8"/>
      <c r="K93" s="8"/>
      <c r="L93" s="8"/>
      <c r="M93" s="8"/>
      <c r="N93" s="8"/>
      <c r="O93" s="8"/>
      <c r="P93" s="9"/>
      <c r="Q93" s="9"/>
    </row>
    <row r="94" spans="1:17" ht="15" customHeight="1" thickBot="1">
      <c r="A94" s="95" t="s">
        <v>7</v>
      </c>
      <c r="B94" s="96"/>
      <c r="C94" s="43">
        <f>SUM(C85:C93)</f>
        <v>1748255.0383333331</v>
      </c>
      <c r="D94" s="4"/>
      <c r="E94" s="4"/>
      <c r="F94" s="4"/>
      <c r="H94" s="6"/>
      <c r="I94" s="7"/>
      <c r="J94" s="8"/>
      <c r="K94" s="8"/>
      <c r="L94" s="8"/>
      <c r="M94" s="8"/>
      <c r="N94" s="8"/>
      <c r="O94" s="8"/>
      <c r="P94" s="9"/>
      <c r="Q94" s="9"/>
    </row>
    <row r="95" spans="1:17" ht="5.25" customHeight="1" thickBot="1">
      <c r="A95" s="51"/>
      <c r="B95" s="52"/>
      <c r="C95" s="43"/>
      <c r="D95" s="4"/>
      <c r="E95" s="4"/>
      <c r="F95" s="4"/>
      <c r="H95" s="6"/>
      <c r="I95" s="7"/>
      <c r="J95" s="8"/>
      <c r="K95" s="8"/>
      <c r="L95" s="8"/>
      <c r="M95" s="8"/>
      <c r="N95" s="8"/>
      <c r="O95" s="8"/>
      <c r="P95" s="9"/>
      <c r="Q95" s="9"/>
    </row>
    <row r="96" spans="1:17" s="20" customFormat="1" ht="15" customHeight="1" thickBot="1">
      <c r="A96" s="25"/>
      <c r="B96" s="25"/>
      <c r="C96" s="23"/>
      <c r="D96" s="4"/>
      <c r="E96" s="4"/>
      <c r="F96" s="4"/>
      <c r="G96" s="4"/>
      <c r="H96" s="71"/>
      <c r="I96" s="72"/>
      <c r="J96" s="73"/>
      <c r="K96" s="73"/>
      <c r="L96" s="73"/>
      <c r="M96" s="73"/>
      <c r="N96" s="73"/>
      <c r="O96" s="73"/>
    </row>
    <row r="97" spans="1:17" ht="16.5" thickBot="1">
      <c r="A97" s="11" t="s">
        <v>30</v>
      </c>
      <c r="B97" s="12"/>
      <c r="C97" s="13"/>
      <c r="D97" s="14"/>
      <c r="E97" s="14"/>
      <c r="F97" s="14"/>
      <c r="G97" s="14"/>
    </row>
    <row r="98" spans="1:17">
      <c r="A98" s="53" t="s">
        <v>1</v>
      </c>
      <c r="B98" s="54"/>
      <c r="C98" s="55"/>
      <c r="D98" s="14"/>
      <c r="E98" s="14"/>
      <c r="F98" s="14"/>
      <c r="G98" s="14"/>
    </row>
    <row r="99" spans="1:17">
      <c r="A99" s="19" t="s">
        <v>49</v>
      </c>
      <c r="B99" s="56"/>
      <c r="C99" s="57">
        <f>497181.53-68772.06-74622.88+C100</f>
        <v>485719.52</v>
      </c>
      <c r="D99" s="14"/>
      <c r="E99" s="14"/>
      <c r="F99" s="14"/>
      <c r="G99" s="14"/>
    </row>
    <row r="100" spans="1:17">
      <c r="A100" s="19" t="s">
        <v>2</v>
      </c>
      <c r="B100" s="56"/>
      <c r="C100" s="57">
        <f>68772.06/1.2+74622.88</f>
        <v>131932.93</v>
      </c>
      <c r="D100" s="14"/>
      <c r="E100" s="14"/>
      <c r="F100" s="14"/>
      <c r="G100" s="14"/>
    </row>
    <row r="101" spans="1:17">
      <c r="A101" s="88" t="s">
        <v>3</v>
      </c>
      <c r="B101" s="81"/>
      <c r="C101" s="22">
        <f>565911.24/1.2+617337.12</f>
        <v>1088929.82</v>
      </c>
      <c r="D101" s="14"/>
      <c r="E101" s="14"/>
      <c r="F101" s="14"/>
      <c r="G101" s="14"/>
    </row>
    <row r="102" spans="1:17">
      <c r="A102" s="24" t="s">
        <v>6</v>
      </c>
      <c r="B102" s="25"/>
      <c r="C102" s="22">
        <f>25920/1.2</f>
        <v>21600</v>
      </c>
      <c r="E102" s="14"/>
      <c r="F102" s="14"/>
      <c r="G102" s="14"/>
    </row>
    <row r="103" spans="1:17">
      <c r="A103" s="24" t="s">
        <v>51</v>
      </c>
      <c r="B103" s="25"/>
      <c r="C103" s="22">
        <f>593880/1.2</f>
        <v>494900</v>
      </c>
      <c r="E103" s="14"/>
      <c r="F103" s="14"/>
      <c r="G103" s="14"/>
    </row>
    <row r="104" spans="1:17">
      <c r="A104" s="24" t="s">
        <v>5</v>
      </c>
      <c r="B104" s="25"/>
      <c r="C104" s="22">
        <v>13400</v>
      </c>
      <c r="D104" s="14"/>
      <c r="E104" s="14"/>
      <c r="F104" s="14"/>
      <c r="G104" s="14"/>
    </row>
    <row r="105" spans="1:17">
      <c r="A105" s="19" t="s">
        <v>7</v>
      </c>
      <c r="B105" s="26"/>
      <c r="C105" s="27">
        <f>SUM(C101:C104)</f>
        <v>1618829.82</v>
      </c>
      <c r="D105" s="14"/>
      <c r="E105" s="14"/>
      <c r="F105" s="14"/>
      <c r="G105" s="14"/>
    </row>
    <row r="106" spans="1:17">
      <c r="A106" s="19"/>
      <c r="B106" s="26"/>
      <c r="C106" s="27"/>
      <c r="D106" s="14"/>
      <c r="E106" s="14"/>
      <c r="F106" s="14"/>
      <c r="G106" s="14"/>
    </row>
    <row r="107" spans="1:17">
      <c r="A107" s="84" t="s">
        <v>8</v>
      </c>
      <c r="B107" s="85"/>
      <c r="C107" s="29"/>
      <c r="D107" s="14"/>
      <c r="E107" s="14"/>
      <c r="F107" s="14"/>
      <c r="G107" s="14"/>
    </row>
    <row r="108" spans="1:17" ht="15" customHeight="1">
      <c r="A108" s="86" t="s">
        <v>9</v>
      </c>
      <c r="B108" s="87"/>
      <c r="C108" s="22">
        <f>3125.25+7366.58+191464.01</f>
        <v>201955.84</v>
      </c>
      <c r="D108" s="4"/>
      <c r="E108" s="4"/>
      <c r="F108" s="4"/>
      <c r="H108" s="6"/>
      <c r="I108" s="7"/>
      <c r="J108" s="8"/>
      <c r="K108" s="8"/>
      <c r="L108" s="8"/>
      <c r="M108" s="8"/>
      <c r="N108" s="8"/>
      <c r="O108" s="8"/>
      <c r="P108" s="9"/>
      <c r="Q108" s="9"/>
    </row>
    <row r="109" spans="1:17" ht="15" customHeight="1">
      <c r="A109" s="24" t="s">
        <v>11</v>
      </c>
      <c r="B109" s="25"/>
      <c r="C109" s="22">
        <f>1268.41/1.2</f>
        <v>1057.0083333333334</v>
      </c>
      <c r="D109" s="4"/>
      <c r="E109" s="4"/>
      <c r="F109" s="4"/>
      <c r="H109" s="6"/>
      <c r="I109" s="7"/>
      <c r="J109" s="8"/>
      <c r="K109" s="8"/>
      <c r="L109" s="8"/>
      <c r="M109" s="8"/>
      <c r="N109" s="8"/>
      <c r="O109" s="8"/>
      <c r="P109" s="9"/>
      <c r="Q109" s="9"/>
    </row>
    <row r="110" spans="1:17" ht="15" customHeight="1">
      <c r="A110" s="24" t="s">
        <v>52</v>
      </c>
      <c r="B110" s="25"/>
      <c r="C110" s="22">
        <v>2633.33</v>
      </c>
      <c r="D110" s="4"/>
      <c r="E110" s="4"/>
      <c r="F110" s="4"/>
      <c r="H110" s="6"/>
      <c r="I110" s="7"/>
      <c r="J110" s="8"/>
      <c r="K110" s="8"/>
      <c r="L110" s="8"/>
      <c r="M110" s="8"/>
      <c r="N110" s="8"/>
      <c r="O110" s="8"/>
      <c r="P110" s="9"/>
      <c r="Q110" s="9"/>
    </row>
    <row r="111" spans="1:17" ht="15" customHeight="1">
      <c r="A111" s="88" t="s">
        <v>15</v>
      </c>
      <c r="B111" s="81"/>
      <c r="C111" s="22">
        <f>6495</f>
        <v>6495</v>
      </c>
      <c r="D111" s="4"/>
      <c r="E111" s="4"/>
      <c r="F111" s="4"/>
      <c r="H111" s="6"/>
      <c r="I111" s="7"/>
      <c r="J111" s="8"/>
      <c r="K111" s="8"/>
      <c r="L111" s="8"/>
      <c r="M111" s="8"/>
      <c r="N111" s="8"/>
      <c r="O111" s="8"/>
      <c r="P111" s="9"/>
      <c r="Q111" s="9"/>
    </row>
    <row r="112" spans="1:17" ht="15" customHeight="1">
      <c r="A112" s="24" t="s">
        <v>12</v>
      </c>
      <c r="B112" s="25"/>
      <c r="C112" s="22">
        <f>25824.36</f>
        <v>25824.36</v>
      </c>
      <c r="D112" s="4"/>
      <c r="E112" s="4"/>
      <c r="F112" s="4"/>
      <c r="H112" s="6"/>
      <c r="I112" s="7"/>
      <c r="J112" s="8"/>
      <c r="K112" s="8"/>
      <c r="L112" s="8"/>
      <c r="M112" s="8"/>
      <c r="N112" s="8"/>
      <c r="O112" s="8"/>
      <c r="P112" s="9"/>
      <c r="Q112" s="9"/>
    </row>
    <row r="113" spans="1:17" ht="15" customHeight="1">
      <c r="A113" s="88" t="s">
        <v>13</v>
      </c>
      <c r="B113" s="81"/>
      <c r="C113" s="22">
        <v>225963.36</v>
      </c>
      <c r="D113" s="4"/>
      <c r="E113" s="4"/>
      <c r="F113" s="4"/>
      <c r="H113" s="6"/>
      <c r="I113" s="7"/>
      <c r="J113" s="8"/>
      <c r="K113" s="8"/>
      <c r="L113" s="8"/>
      <c r="M113" s="8"/>
      <c r="N113" s="8"/>
      <c r="O113" s="8"/>
      <c r="P113" s="9"/>
      <c r="Q113" s="9"/>
    </row>
    <row r="114" spans="1:17" ht="15" customHeight="1">
      <c r="A114" s="82" t="s">
        <v>14</v>
      </c>
      <c r="B114" s="83"/>
      <c r="C114" s="22">
        <v>279615.71999999997</v>
      </c>
      <c r="D114" s="4"/>
      <c r="E114" s="4"/>
      <c r="F114" s="4"/>
      <c r="H114" s="6"/>
      <c r="I114" s="7"/>
      <c r="J114" s="8"/>
      <c r="K114" s="8"/>
      <c r="L114" s="8"/>
      <c r="M114" s="8"/>
      <c r="N114" s="8"/>
      <c r="O114" s="8"/>
      <c r="P114" s="9"/>
      <c r="Q114" s="9"/>
    </row>
    <row r="115" spans="1:17" ht="15" customHeight="1">
      <c r="A115" s="88" t="s">
        <v>53</v>
      </c>
      <c r="B115" s="81"/>
      <c r="C115" s="22">
        <f>96618.84+24110.71</f>
        <v>120729.54999999999</v>
      </c>
      <c r="D115" s="4"/>
      <c r="E115" s="4"/>
      <c r="F115" s="4"/>
      <c r="H115" s="6"/>
      <c r="I115" s="7"/>
      <c r="J115" s="8"/>
      <c r="K115" s="8"/>
      <c r="L115" s="8"/>
      <c r="M115" s="8"/>
      <c r="N115" s="8"/>
      <c r="O115" s="8"/>
      <c r="P115" s="9"/>
      <c r="Q115" s="9"/>
    </row>
    <row r="116" spans="1:17" ht="15" customHeight="1">
      <c r="A116" s="68" t="s">
        <v>66</v>
      </c>
      <c r="B116" s="69"/>
      <c r="C116" s="22">
        <v>260646</v>
      </c>
      <c r="D116" s="4"/>
      <c r="E116" s="4"/>
      <c r="F116" s="4"/>
      <c r="H116" s="6"/>
      <c r="I116" s="7"/>
      <c r="J116" s="8"/>
      <c r="K116" s="8"/>
      <c r="L116" s="8"/>
      <c r="M116" s="8"/>
      <c r="N116" s="8"/>
      <c r="O116" s="8"/>
      <c r="P116" s="9"/>
      <c r="Q116" s="9"/>
    </row>
    <row r="117" spans="1:17" ht="15" customHeight="1">
      <c r="A117" s="68" t="s">
        <v>67</v>
      </c>
      <c r="B117" s="69"/>
      <c r="C117" s="22">
        <v>460456</v>
      </c>
      <c r="D117" s="4"/>
      <c r="E117" s="4"/>
      <c r="F117" s="4"/>
      <c r="H117" s="6"/>
      <c r="I117" s="7"/>
      <c r="J117" s="8"/>
      <c r="K117" s="8"/>
      <c r="L117" s="8"/>
      <c r="M117" s="8"/>
      <c r="N117" s="8"/>
      <c r="O117" s="8"/>
      <c r="P117" s="9"/>
      <c r="Q117" s="9"/>
    </row>
    <row r="118" spans="1:17" ht="15" customHeight="1">
      <c r="A118" s="88" t="s">
        <v>18</v>
      </c>
      <c r="B118" s="81"/>
      <c r="C118" s="22">
        <v>111312</v>
      </c>
      <c r="D118" s="4"/>
      <c r="E118" s="4"/>
      <c r="F118" s="4"/>
      <c r="H118" s="6"/>
      <c r="I118" s="7"/>
      <c r="J118" s="8"/>
      <c r="K118" s="8"/>
      <c r="L118" s="8"/>
      <c r="M118" s="8"/>
      <c r="N118" s="8"/>
      <c r="O118" s="8"/>
      <c r="P118" s="9"/>
      <c r="Q118" s="9"/>
    </row>
    <row r="119" spans="1:17" ht="15" customHeight="1">
      <c r="A119" s="24" t="s">
        <v>19</v>
      </c>
      <c r="B119" s="25"/>
      <c r="C119" s="22">
        <v>365733.41</v>
      </c>
      <c r="D119" s="4"/>
      <c r="E119" s="4"/>
      <c r="F119" s="4"/>
      <c r="H119" s="6"/>
      <c r="I119" s="7"/>
      <c r="J119" s="8"/>
      <c r="K119" s="8"/>
      <c r="L119" s="8"/>
      <c r="M119" s="8"/>
      <c r="N119" s="8"/>
      <c r="O119" s="8"/>
      <c r="P119" s="9"/>
      <c r="Q119" s="9"/>
    </row>
    <row r="120" spans="1:17" ht="15" customHeight="1" thickBot="1">
      <c r="A120" s="93" t="s">
        <v>7</v>
      </c>
      <c r="B120" s="94"/>
      <c r="C120" s="3">
        <f>SUM(C108:C119)</f>
        <v>2062421.5783333331</v>
      </c>
      <c r="D120" s="4"/>
      <c r="E120" s="4"/>
      <c r="F120" s="4"/>
      <c r="G120" s="40"/>
      <c r="H120" s="18"/>
      <c r="I120" s="7"/>
      <c r="J120" s="8"/>
      <c r="K120" s="8"/>
      <c r="L120" s="8"/>
      <c r="M120" s="8"/>
      <c r="N120" s="8"/>
      <c r="O120" s="8"/>
      <c r="P120" s="9"/>
      <c r="Q120" s="9"/>
    </row>
    <row r="121" spans="1:17" ht="4.5" customHeight="1" thickBot="1">
      <c r="A121" s="33"/>
      <c r="B121" s="34"/>
      <c r="C121" s="3"/>
      <c r="D121" s="4"/>
      <c r="E121" s="4"/>
      <c r="F121" s="4"/>
      <c r="G121" s="40"/>
      <c r="H121" s="18"/>
      <c r="I121" s="7"/>
      <c r="J121" s="8"/>
      <c r="K121" s="8"/>
      <c r="L121" s="8"/>
      <c r="M121" s="8"/>
      <c r="N121" s="8"/>
      <c r="O121" s="8"/>
      <c r="P121" s="9"/>
      <c r="Q121" s="9"/>
    </row>
    <row r="122" spans="1:17" ht="16.5" thickBot="1">
      <c r="D122" s="40"/>
      <c r="E122" s="40"/>
      <c r="F122" s="40"/>
      <c r="G122" s="40"/>
      <c r="H122" s="40"/>
      <c r="I122" s="9"/>
    </row>
    <row r="123" spans="1:17" ht="16.5" thickBot="1">
      <c r="A123" s="11" t="s">
        <v>31</v>
      </c>
      <c r="B123" s="12"/>
      <c r="C123" s="13"/>
      <c r="D123" s="14"/>
      <c r="E123" s="14"/>
      <c r="F123" s="14"/>
      <c r="G123" s="14"/>
    </row>
    <row r="124" spans="1:17">
      <c r="A124" s="15" t="s">
        <v>1</v>
      </c>
      <c r="B124" s="38"/>
      <c r="C124" s="17"/>
      <c r="D124" s="14"/>
      <c r="E124" s="14"/>
      <c r="F124" s="14"/>
      <c r="G124" s="14"/>
    </row>
    <row r="125" spans="1:17">
      <c r="A125" s="19" t="s">
        <v>49</v>
      </c>
      <c r="B125" s="39"/>
      <c r="C125" s="21">
        <f>307263.88-50241.59-53771.27+C126</f>
        <v>298890.28166666668</v>
      </c>
      <c r="D125" s="14"/>
      <c r="E125" s="14"/>
      <c r="F125" s="14"/>
      <c r="G125" s="14"/>
    </row>
    <row r="126" spans="1:17">
      <c r="A126" s="19" t="s">
        <v>2</v>
      </c>
      <c r="B126" s="20"/>
      <c r="C126" s="22">
        <f>50241.59/1.2+53771.27</f>
        <v>95639.261666666658</v>
      </c>
      <c r="D126" s="14"/>
      <c r="E126" s="14"/>
      <c r="F126" s="14"/>
      <c r="G126" s="14"/>
    </row>
    <row r="127" spans="1:17">
      <c r="A127" s="88" t="s">
        <v>3</v>
      </c>
      <c r="B127" s="81"/>
      <c r="C127" s="22">
        <f>498452.4/1.2+543747.72</f>
        <v>959124.72</v>
      </c>
      <c r="D127" s="14"/>
      <c r="E127" s="14"/>
      <c r="F127" s="14"/>
      <c r="G127" s="14"/>
    </row>
    <row r="128" spans="1:17">
      <c r="A128" s="24" t="s">
        <v>6</v>
      </c>
      <c r="B128" s="25"/>
      <c r="C128" s="22">
        <f>34080/1.2</f>
        <v>28400</v>
      </c>
      <c r="D128" s="14"/>
      <c r="E128" s="14"/>
      <c r="F128" s="14"/>
      <c r="G128" s="14"/>
    </row>
    <row r="129" spans="1:17">
      <c r="A129" s="24" t="s">
        <v>5</v>
      </c>
      <c r="B129" s="25"/>
      <c r="C129" s="22">
        <v>15650</v>
      </c>
      <c r="D129" s="14"/>
      <c r="E129" s="14"/>
      <c r="F129" s="14"/>
      <c r="G129" s="14"/>
    </row>
    <row r="130" spans="1:17">
      <c r="A130" s="19" t="s">
        <v>7</v>
      </c>
      <c r="B130" s="26"/>
      <c r="C130" s="27">
        <f>SUM(C127:C129)</f>
        <v>1003174.72</v>
      </c>
      <c r="D130" s="14"/>
      <c r="E130" s="14"/>
      <c r="F130" s="14"/>
      <c r="G130" s="14"/>
    </row>
    <row r="131" spans="1:17">
      <c r="A131" s="19"/>
      <c r="B131" s="26"/>
      <c r="C131" s="27"/>
      <c r="D131" s="14"/>
      <c r="E131" s="14"/>
      <c r="F131" s="14"/>
      <c r="G131" s="14"/>
    </row>
    <row r="132" spans="1:17">
      <c r="A132" s="84" t="s">
        <v>8</v>
      </c>
      <c r="B132" s="85"/>
      <c r="C132" s="29"/>
      <c r="D132" s="14"/>
      <c r="E132" s="14"/>
      <c r="F132" s="14"/>
      <c r="G132" s="14"/>
      <c r="H132" s="10"/>
    </row>
    <row r="133" spans="1:17" ht="15" customHeight="1">
      <c r="A133" s="86" t="s">
        <v>9</v>
      </c>
      <c r="B133" s="87"/>
      <c r="C133" s="22">
        <f>1812+127667.09+5116.6+1164</f>
        <v>135759.69</v>
      </c>
      <c r="D133" s="4"/>
      <c r="E133" s="4"/>
      <c r="F133" s="4"/>
      <c r="H133" s="6"/>
      <c r="I133" s="7"/>
      <c r="J133" s="8"/>
      <c r="K133" s="8"/>
      <c r="L133" s="8"/>
      <c r="M133" s="8"/>
      <c r="N133" s="8"/>
      <c r="O133" s="8"/>
      <c r="P133" s="9"/>
      <c r="Q133" s="9"/>
    </row>
    <row r="134" spans="1:17" ht="15" customHeight="1">
      <c r="A134" s="24" t="s">
        <v>11</v>
      </c>
      <c r="B134" s="25"/>
      <c r="C134" s="22">
        <f>1268.41</f>
        <v>1268.4100000000001</v>
      </c>
      <c r="D134" s="4"/>
      <c r="E134" s="4"/>
      <c r="F134" s="4"/>
      <c r="H134" s="6"/>
      <c r="I134" s="7"/>
      <c r="J134" s="8"/>
      <c r="K134" s="8"/>
      <c r="L134" s="8"/>
      <c r="M134" s="8"/>
      <c r="N134" s="8"/>
      <c r="O134" s="8"/>
      <c r="P134" s="9"/>
      <c r="Q134" s="9"/>
    </row>
    <row r="135" spans="1:17" ht="15" customHeight="1">
      <c r="A135" s="24" t="s">
        <v>12</v>
      </c>
      <c r="B135" s="25"/>
      <c r="C135" s="22">
        <f>22746</f>
        <v>22746</v>
      </c>
      <c r="D135" s="4"/>
      <c r="E135" s="4"/>
      <c r="F135" s="4"/>
      <c r="H135" s="6"/>
      <c r="I135" s="7"/>
      <c r="J135" s="8"/>
      <c r="K135" s="8"/>
      <c r="L135" s="8"/>
      <c r="M135" s="8"/>
      <c r="N135" s="8"/>
      <c r="O135" s="8"/>
      <c r="P135" s="9"/>
      <c r="Q135" s="9"/>
    </row>
    <row r="136" spans="1:17" ht="15" customHeight="1">
      <c r="A136" s="88" t="s">
        <v>13</v>
      </c>
      <c r="B136" s="81"/>
      <c r="C136" s="22">
        <f>199027.32</f>
        <v>199027.32</v>
      </c>
      <c r="D136" s="4"/>
      <c r="E136" s="4"/>
      <c r="F136" s="4"/>
      <c r="H136" s="6"/>
      <c r="I136" s="7"/>
      <c r="J136" s="8"/>
      <c r="K136" s="8"/>
      <c r="L136" s="8"/>
      <c r="M136" s="8"/>
      <c r="N136" s="8"/>
      <c r="O136" s="8"/>
      <c r="P136" s="9"/>
      <c r="Q136" s="9"/>
    </row>
    <row r="137" spans="1:17" ht="15" customHeight="1">
      <c r="A137" s="82" t="s">
        <v>14</v>
      </c>
      <c r="B137" s="83"/>
      <c r="C137" s="22">
        <v>246283.98</v>
      </c>
      <c r="D137" s="4"/>
      <c r="E137" s="4"/>
      <c r="F137" s="4"/>
      <c r="H137" s="6"/>
      <c r="I137" s="7"/>
      <c r="J137" s="8"/>
      <c r="K137" s="8"/>
      <c r="L137" s="8"/>
      <c r="M137" s="8"/>
      <c r="N137" s="8"/>
      <c r="O137" s="8"/>
      <c r="P137" s="9"/>
      <c r="Q137" s="9"/>
    </row>
    <row r="138" spans="1:17" ht="15" customHeight="1">
      <c r="A138" s="88" t="s">
        <v>16</v>
      </c>
      <c r="B138" s="81"/>
      <c r="C138" s="22">
        <f>16076.88+118498.36</f>
        <v>134575.24</v>
      </c>
      <c r="D138" s="4"/>
      <c r="E138" s="4"/>
      <c r="F138" s="4"/>
      <c r="H138" s="6"/>
      <c r="I138" s="7"/>
      <c r="J138" s="8"/>
      <c r="K138" s="8"/>
      <c r="L138" s="8"/>
      <c r="M138" s="8"/>
      <c r="N138" s="8"/>
      <c r="O138" s="8"/>
      <c r="P138" s="9"/>
      <c r="Q138" s="9"/>
    </row>
    <row r="139" spans="1:17" ht="15" customHeight="1">
      <c r="A139" s="68" t="s">
        <v>65</v>
      </c>
      <c r="B139" s="69"/>
      <c r="C139" s="22">
        <v>330629</v>
      </c>
      <c r="D139" s="4"/>
      <c r="E139" s="4"/>
      <c r="F139" s="4"/>
      <c r="H139" s="6"/>
      <c r="I139" s="7"/>
      <c r="J139" s="8"/>
      <c r="K139" s="8"/>
      <c r="L139" s="8"/>
      <c r="M139" s="8"/>
      <c r="N139" s="8"/>
      <c r="O139" s="8"/>
      <c r="P139" s="9"/>
      <c r="Q139" s="9"/>
    </row>
    <row r="140" spans="1:17" ht="15" customHeight="1">
      <c r="A140" s="24" t="s">
        <v>54</v>
      </c>
      <c r="B140" s="25"/>
      <c r="C140" s="22">
        <v>2398.4</v>
      </c>
      <c r="D140" s="4"/>
      <c r="E140" s="4"/>
      <c r="F140" s="4"/>
      <c r="H140" s="6"/>
      <c r="I140" s="7"/>
      <c r="J140" s="8"/>
      <c r="K140" s="8"/>
      <c r="L140" s="8"/>
      <c r="M140" s="8"/>
      <c r="N140" s="8"/>
      <c r="O140" s="8"/>
      <c r="P140" s="9"/>
      <c r="Q140" s="9"/>
    </row>
    <row r="141" spans="1:17" ht="15" customHeight="1">
      <c r="A141" s="88" t="s">
        <v>18</v>
      </c>
      <c r="B141" s="81"/>
      <c r="C141" s="22">
        <f>98043</f>
        <v>98043</v>
      </c>
      <c r="D141" s="4"/>
      <c r="E141" s="4"/>
      <c r="F141" s="4"/>
      <c r="H141" s="6"/>
      <c r="I141" s="7"/>
      <c r="J141" s="8"/>
      <c r="K141" s="8"/>
      <c r="L141" s="8"/>
      <c r="M141" s="8"/>
      <c r="N141" s="8"/>
      <c r="O141" s="8"/>
      <c r="P141" s="9"/>
      <c r="Q141" s="9"/>
    </row>
    <row r="142" spans="1:17" ht="15" customHeight="1" thickBot="1">
      <c r="A142" s="41" t="s">
        <v>19</v>
      </c>
      <c r="B142" s="42"/>
      <c r="C142" s="32">
        <v>243868.9</v>
      </c>
      <c r="D142" s="4"/>
      <c r="E142" s="4"/>
      <c r="F142" s="4"/>
      <c r="H142" s="6"/>
      <c r="I142" s="7"/>
      <c r="J142" s="8"/>
      <c r="K142" s="8"/>
      <c r="L142" s="8"/>
      <c r="M142" s="8"/>
      <c r="N142" s="8"/>
      <c r="O142" s="8"/>
      <c r="P142" s="9"/>
      <c r="Q142" s="9"/>
    </row>
    <row r="143" spans="1:17" ht="15" customHeight="1" thickBot="1">
      <c r="A143" s="93" t="s">
        <v>7</v>
      </c>
      <c r="B143" s="94"/>
      <c r="C143" s="3">
        <f>SUM(C133:C142)</f>
        <v>1414599.94</v>
      </c>
      <c r="D143" s="4"/>
      <c r="E143" s="4"/>
      <c r="F143" s="4"/>
      <c r="H143" s="6"/>
      <c r="I143" s="7"/>
      <c r="J143" s="8"/>
      <c r="K143" s="8"/>
      <c r="L143" s="8"/>
      <c r="M143" s="8"/>
      <c r="N143" s="8"/>
      <c r="O143" s="8"/>
      <c r="P143" s="9"/>
      <c r="Q143" s="9"/>
    </row>
    <row r="144" spans="1:17" ht="5.25" customHeight="1" thickBot="1">
      <c r="A144" s="33"/>
      <c r="B144" s="34"/>
      <c r="C144" s="3"/>
      <c r="D144" s="4"/>
      <c r="E144" s="4"/>
      <c r="F144" s="4"/>
      <c r="H144" s="6"/>
      <c r="I144" s="7"/>
      <c r="J144" s="8"/>
      <c r="K144" s="8"/>
      <c r="L144" s="8"/>
      <c r="M144" s="8"/>
      <c r="N144" s="8"/>
      <c r="O144" s="8"/>
      <c r="P144" s="9"/>
      <c r="Q144" s="9"/>
    </row>
    <row r="145" spans="1:17" ht="16.5" thickBot="1"/>
    <row r="146" spans="1:17" ht="16.5" thickBot="1">
      <c r="A146" s="11" t="s">
        <v>32</v>
      </c>
      <c r="B146" s="12"/>
      <c r="C146" s="13"/>
      <c r="D146" s="14"/>
      <c r="E146" s="14"/>
      <c r="F146" s="14"/>
      <c r="G146" s="14"/>
      <c r="H146" s="10"/>
    </row>
    <row r="147" spans="1:17">
      <c r="A147" s="15" t="s">
        <v>1</v>
      </c>
      <c r="B147" s="16"/>
      <c r="C147" s="17"/>
      <c r="D147" s="14"/>
      <c r="E147" s="14"/>
      <c r="F147" s="14"/>
      <c r="G147" s="14"/>
      <c r="H147" s="10"/>
    </row>
    <row r="148" spans="1:17">
      <c r="A148" s="19" t="s">
        <v>49</v>
      </c>
      <c r="B148" s="20"/>
      <c r="C148" s="21">
        <f>928286.48-153637.55-164806.22+C149</f>
        <v>902680.22166666668</v>
      </c>
      <c r="D148" s="14"/>
      <c r="E148" s="14"/>
      <c r="F148" s="14"/>
      <c r="G148" s="14"/>
      <c r="H148" s="10"/>
    </row>
    <row r="149" spans="1:17">
      <c r="A149" s="19" t="s">
        <v>2</v>
      </c>
      <c r="B149" s="20"/>
      <c r="C149" s="21">
        <f>153637.55/1.2+164806.22</f>
        <v>292837.51166666666</v>
      </c>
      <c r="D149" s="14"/>
      <c r="E149" s="14"/>
      <c r="F149" s="14"/>
      <c r="G149" s="14"/>
      <c r="H149" s="10"/>
    </row>
    <row r="150" spans="1:17" ht="13.5" customHeight="1">
      <c r="A150" s="88" t="s">
        <v>3</v>
      </c>
      <c r="B150" s="81"/>
      <c r="C150" s="22">
        <f>1054556.16/1.2+1150386.84</f>
        <v>2029183.6400000001</v>
      </c>
      <c r="D150" s="14"/>
      <c r="E150" s="14"/>
      <c r="F150" s="14"/>
      <c r="G150" s="14"/>
      <c r="H150" s="10"/>
    </row>
    <row r="151" spans="1:17">
      <c r="A151" s="88" t="s">
        <v>4</v>
      </c>
      <c r="B151" s="81"/>
      <c r="C151" s="22">
        <f>10479.24/1.2+52907.64/1.2+57715.56</f>
        <v>110537.96</v>
      </c>
      <c r="D151" s="14"/>
      <c r="E151" s="14"/>
      <c r="F151" s="14"/>
      <c r="G151" s="14"/>
      <c r="H151" s="10"/>
    </row>
    <row r="152" spans="1:17">
      <c r="A152" s="24" t="s">
        <v>25</v>
      </c>
      <c r="B152" s="25"/>
      <c r="C152" s="22">
        <f>793800/1.2</f>
        <v>661500</v>
      </c>
      <c r="D152" s="14"/>
      <c r="E152" s="14"/>
      <c r="F152" s="14"/>
      <c r="G152" s="14"/>
      <c r="H152" s="10"/>
    </row>
    <row r="153" spans="1:17">
      <c r="A153" s="24" t="s">
        <v>6</v>
      </c>
      <c r="B153" s="25"/>
      <c r="C153" s="22">
        <f>50400/1.2</f>
        <v>42000</v>
      </c>
      <c r="D153" s="14"/>
      <c r="E153" s="14"/>
      <c r="F153" s="14"/>
      <c r="G153" s="14"/>
      <c r="H153" s="10"/>
    </row>
    <row r="154" spans="1:17">
      <c r="A154" s="24" t="s">
        <v>5</v>
      </c>
      <c r="B154" s="25"/>
      <c r="C154" s="22">
        <v>15650</v>
      </c>
      <c r="D154" s="14"/>
      <c r="E154" s="14"/>
      <c r="F154" s="14"/>
      <c r="G154" s="14"/>
      <c r="H154" s="10"/>
    </row>
    <row r="155" spans="1:17">
      <c r="A155" s="24" t="s">
        <v>55</v>
      </c>
      <c r="B155" s="25"/>
      <c r="C155" s="22">
        <f>25440/1.2</f>
        <v>21200</v>
      </c>
      <c r="D155" s="14"/>
      <c r="E155" s="14"/>
      <c r="F155" s="14"/>
      <c r="G155" s="14"/>
      <c r="H155" s="10"/>
    </row>
    <row r="156" spans="1:17">
      <c r="A156" s="19" t="s">
        <v>7</v>
      </c>
      <c r="B156" s="26"/>
      <c r="C156" s="27">
        <f>SUM(C150:C154)</f>
        <v>2858871.6</v>
      </c>
      <c r="D156" s="14"/>
      <c r="E156" s="14"/>
      <c r="F156" s="14"/>
      <c r="G156" s="14"/>
      <c r="H156" s="10"/>
    </row>
    <row r="157" spans="1:17">
      <c r="A157" s="19"/>
      <c r="B157" s="26"/>
      <c r="C157" s="27"/>
      <c r="D157" s="14"/>
      <c r="E157" s="14"/>
      <c r="F157" s="14"/>
      <c r="G157" s="14"/>
      <c r="H157" s="10"/>
    </row>
    <row r="158" spans="1:17">
      <c r="A158" s="84" t="s">
        <v>8</v>
      </c>
      <c r="B158" s="85"/>
      <c r="C158" s="29"/>
      <c r="D158" s="14"/>
      <c r="E158" s="14"/>
      <c r="F158" s="14"/>
      <c r="G158" s="14"/>
      <c r="H158" s="10"/>
    </row>
    <row r="159" spans="1:17" ht="15" customHeight="1">
      <c r="A159" s="86" t="s">
        <v>9</v>
      </c>
      <c r="B159" s="87"/>
      <c r="C159" s="22">
        <f>7125.63+6683.1+283579.45</f>
        <v>297388.18</v>
      </c>
      <c r="D159" s="4"/>
      <c r="E159" s="4"/>
      <c r="F159" s="4"/>
      <c r="H159" s="18"/>
      <c r="I159" s="7"/>
      <c r="J159" s="8"/>
      <c r="K159" s="8"/>
      <c r="L159" s="8"/>
      <c r="M159" s="8"/>
      <c r="N159" s="8"/>
      <c r="O159" s="8"/>
      <c r="P159" s="9"/>
      <c r="Q159" s="9"/>
    </row>
    <row r="160" spans="1:17" ht="15" customHeight="1">
      <c r="A160" s="24" t="s">
        <v>10</v>
      </c>
      <c r="B160" s="25"/>
      <c r="C160" s="22">
        <v>2109.6</v>
      </c>
      <c r="D160" s="4"/>
      <c r="E160" s="4"/>
      <c r="F160" s="4"/>
      <c r="H160" s="18"/>
      <c r="I160" s="7"/>
      <c r="J160" s="8"/>
      <c r="K160" s="8"/>
      <c r="L160" s="8"/>
      <c r="M160" s="8"/>
      <c r="N160" s="8"/>
      <c r="O160" s="8"/>
      <c r="P160" s="9"/>
      <c r="Q160" s="9"/>
    </row>
    <row r="161" spans="1:17" ht="15" customHeight="1">
      <c r="A161" s="24" t="s">
        <v>11</v>
      </c>
      <c r="B161" s="25"/>
      <c r="C161" s="22">
        <v>1268.4100000000001</v>
      </c>
      <c r="D161" s="4"/>
      <c r="E161" s="4"/>
      <c r="F161" s="4"/>
      <c r="H161" s="18"/>
      <c r="I161" s="7"/>
      <c r="J161" s="8"/>
      <c r="K161" s="8"/>
      <c r="L161" s="8"/>
      <c r="M161" s="8"/>
      <c r="N161" s="8"/>
      <c r="O161" s="8"/>
      <c r="P161" s="9"/>
      <c r="Q161" s="9"/>
    </row>
    <row r="162" spans="1:17" ht="15" customHeight="1">
      <c r="A162" s="24" t="s">
        <v>46</v>
      </c>
      <c r="B162" s="25"/>
      <c r="C162" s="22">
        <v>20398</v>
      </c>
      <c r="D162" s="4"/>
      <c r="E162" s="4"/>
      <c r="F162" s="4"/>
      <c r="H162" s="18"/>
      <c r="I162" s="7"/>
      <c r="J162" s="8"/>
      <c r="K162" s="8"/>
      <c r="L162" s="8"/>
      <c r="M162" s="8"/>
      <c r="N162" s="8"/>
      <c r="O162" s="8"/>
      <c r="P162" s="9"/>
      <c r="Q162" s="9"/>
    </row>
    <row r="163" spans="1:17" ht="15" customHeight="1">
      <c r="A163" s="24" t="s">
        <v>25</v>
      </c>
      <c r="B163" s="25"/>
      <c r="C163" s="22">
        <f>595350+66150</f>
        <v>661500</v>
      </c>
      <c r="D163" s="4"/>
      <c r="E163" s="4"/>
      <c r="F163" s="4"/>
      <c r="H163" s="18"/>
      <c r="I163" s="7"/>
      <c r="J163" s="8"/>
      <c r="K163" s="8"/>
      <c r="L163" s="8"/>
      <c r="M163" s="8"/>
      <c r="N163" s="8"/>
      <c r="O163" s="8"/>
      <c r="P163" s="9"/>
      <c r="Q163" s="9"/>
    </row>
    <row r="164" spans="1:17" ht="15" customHeight="1">
      <c r="A164" s="88" t="s">
        <v>15</v>
      </c>
      <c r="B164" s="81"/>
      <c r="C164" s="22">
        <f>12999.24</f>
        <v>12999.24</v>
      </c>
      <c r="D164" s="4"/>
      <c r="E164" s="4"/>
      <c r="F164" s="4"/>
      <c r="H164" s="6"/>
      <c r="I164" s="7"/>
      <c r="J164" s="8"/>
      <c r="K164" s="8"/>
      <c r="L164" s="8"/>
      <c r="M164" s="8"/>
      <c r="N164" s="8"/>
      <c r="O164" s="8"/>
      <c r="P164" s="9"/>
      <c r="Q164" s="9"/>
    </row>
    <row r="165" spans="1:17" ht="15" customHeight="1">
      <c r="A165" s="24" t="s">
        <v>12</v>
      </c>
      <c r="B165" s="25"/>
      <c r="C165" s="22">
        <f>48115.92</f>
        <v>48115.92</v>
      </c>
      <c r="D165" s="4"/>
      <c r="E165" s="4"/>
      <c r="F165" s="4"/>
      <c r="H165" s="6"/>
      <c r="I165" s="7"/>
      <c r="J165" s="8"/>
      <c r="K165" s="8"/>
      <c r="L165" s="8"/>
      <c r="M165" s="8"/>
      <c r="N165" s="8"/>
      <c r="O165" s="8"/>
      <c r="P165" s="9"/>
      <c r="Q165" s="9"/>
    </row>
    <row r="166" spans="1:17" ht="15" customHeight="1">
      <c r="A166" s="88" t="s">
        <v>13</v>
      </c>
      <c r="B166" s="81"/>
      <c r="C166" s="22">
        <f>452492.46</f>
        <v>452492.46</v>
      </c>
      <c r="D166" s="4"/>
      <c r="E166" s="4"/>
      <c r="F166" s="4"/>
      <c r="H166" s="6"/>
      <c r="I166" s="7"/>
      <c r="J166" s="8"/>
      <c r="K166" s="8"/>
      <c r="L166" s="8"/>
      <c r="M166" s="8"/>
      <c r="N166" s="8"/>
      <c r="O166" s="8"/>
      <c r="P166" s="9"/>
      <c r="Q166" s="9"/>
    </row>
    <row r="167" spans="1:17" ht="15" customHeight="1">
      <c r="A167" s="82" t="s">
        <v>14</v>
      </c>
      <c r="B167" s="83"/>
      <c r="C167" s="22">
        <f>559931.58</f>
        <v>559931.57999999996</v>
      </c>
      <c r="D167" s="4"/>
      <c r="E167" s="4"/>
      <c r="F167" s="4"/>
      <c r="H167" s="6"/>
      <c r="I167" s="7"/>
      <c r="J167" s="8"/>
      <c r="K167" s="8"/>
      <c r="L167" s="8"/>
      <c r="M167" s="8"/>
      <c r="N167" s="8"/>
      <c r="O167" s="8"/>
      <c r="P167" s="9"/>
      <c r="Q167" s="9"/>
    </row>
    <row r="168" spans="1:17">
      <c r="A168" s="88" t="s">
        <v>16</v>
      </c>
      <c r="B168" s="81"/>
      <c r="C168" s="22">
        <f>193479.6+35710.64</f>
        <v>229190.24</v>
      </c>
      <c r="D168" s="14"/>
      <c r="E168" s="14"/>
      <c r="F168" s="14"/>
      <c r="G168" s="14"/>
      <c r="H168" s="10"/>
    </row>
    <row r="169" spans="1:17">
      <c r="A169" s="24" t="s">
        <v>17</v>
      </c>
      <c r="B169" s="25"/>
      <c r="C169" s="22">
        <f>14387.55</f>
        <v>14387.55</v>
      </c>
      <c r="D169" s="14"/>
      <c r="E169" s="14"/>
      <c r="F169" s="14"/>
      <c r="G169" s="14"/>
      <c r="H169" s="10"/>
    </row>
    <row r="170" spans="1:17">
      <c r="A170" s="24" t="s">
        <v>18</v>
      </c>
      <c r="B170" s="25"/>
      <c r="C170" s="22">
        <f>229815.11</f>
        <v>229815.11</v>
      </c>
      <c r="D170" s="14"/>
      <c r="E170" s="14"/>
      <c r="F170" s="14"/>
      <c r="G170" s="14"/>
      <c r="H170" s="10"/>
    </row>
    <row r="171" spans="1:17" ht="16.5" thickBot="1">
      <c r="A171" s="89" t="s">
        <v>19</v>
      </c>
      <c r="B171" s="90"/>
      <c r="C171" s="32">
        <f>541691.77-66150</f>
        <v>475541.77</v>
      </c>
      <c r="D171" s="14"/>
      <c r="E171" s="14"/>
      <c r="F171" s="14"/>
      <c r="G171" s="14"/>
      <c r="H171" s="10"/>
    </row>
    <row r="172" spans="1:17" ht="15" customHeight="1" thickBot="1">
      <c r="A172" s="95" t="s">
        <v>7</v>
      </c>
      <c r="B172" s="96"/>
      <c r="C172" s="43">
        <f>SUM(C159:C171)</f>
        <v>3005138.0599999996</v>
      </c>
      <c r="D172" s="4"/>
      <c r="E172" s="4"/>
      <c r="F172" s="4"/>
      <c r="H172" s="6"/>
      <c r="I172" s="7"/>
      <c r="J172" s="8"/>
      <c r="K172" s="8"/>
      <c r="L172" s="8"/>
      <c r="M172" s="8"/>
      <c r="N172" s="8"/>
      <c r="O172" s="8"/>
      <c r="P172" s="9"/>
      <c r="Q172" s="9"/>
    </row>
    <row r="173" spans="1:17" ht="5.25" customHeight="1" thickBot="1">
      <c r="A173" s="51"/>
      <c r="B173" s="52"/>
      <c r="C173" s="43"/>
      <c r="D173" s="4"/>
      <c r="E173" s="4"/>
      <c r="F173" s="4"/>
      <c r="H173" s="6"/>
      <c r="I173" s="7"/>
      <c r="J173" s="8"/>
      <c r="K173" s="8"/>
      <c r="L173" s="8"/>
      <c r="M173" s="8"/>
      <c r="N173" s="8"/>
      <c r="O173" s="8"/>
      <c r="P173" s="9"/>
      <c r="Q173" s="9"/>
    </row>
    <row r="174" spans="1:17" s="20" customFormat="1" ht="15" customHeight="1" thickBot="1">
      <c r="A174" s="81"/>
      <c r="B174" s="81"/>
      <c r="C174" s="23"/>
      <c r="D174" s="4"/>
      <c r="E174" s="4"/>
      <c r="F174" s="4"/>
      <c r="G174" s="4"/>
      <c r="H174" s="71"/>
      <c r="I174" s="72"/>
      <c r="J174" s="73"/>
      <c r="K174" s="73"/>
      <c r="L174" s="73"/>
      <c r="M174" s="73"/>
      <c r="N174" s="73"/>
      <c r="O174" s="73"/>
    </row>
    <row r="175" spans="1:17" ht="16.5" thickBot="1">
      <c r="A175" s="11" t="s">
        <v>33</v>
      </c>
      <c r="B175" s="12"/>
      <c r="C175" s="13"/>
      <c r="D175" s="14"/>
      <c r="E175" s="14"/>
      <c r="F175" s="14"/>
      <c r="G175" s="14"/>
      <c r="H175" s="10"/>
    </row>
    <row r="176" spans="1:17">
      <c r="A176" s="15" t="s">
        <v>1</v>
      </c>
      <c r="B176" s="16"/>
      <c r="C176" s="29"/>
      <c r="D176" s="14"/>
      <c r="E176" s="14"/>
      <c r="F176" s="14"/>
      <c r="G176" s="14"/>
      <c r="H176" s="10"/>
    </row>
    <row r="177" spans="1:17">
      <c r="A177" s="19" t="s">
        <v>49</v>
      </c>
      <c r="B177" s="20"/>
      <c r="C177" s="21">
        <f>857822.22-138271.18-149432.73+C178</f>
        <v>834777.02333333343</v>
      </c>
      <c r="D177" s="14"/>
      <c r="E177" s="14"/>
      <c r="F177" s="14"/>
      <c r="G177" s="14"/>
      <c r="H177" s="10"/>
    </row>
    <row r="178" spans="1:17">
      <c r="A178" s="19" t="s">
        <v>2</v>
      </c>
      <c r="B178" s="20"/>
      <c r="C178" s="21">
        <f>138271.18/1.2+149432.73</f>
        <v>264658.71333333338</v>
      </c>
      <c r="D178" s="14"/>
      <c r="E178" s="14"/>
      <c r="F178" s="14"/>
      <c r="G178" s="14"/>
      <c r="H178" s="10"/>
    </row>
    <row r="179" spans="1:17">
      <c r="A179" s="88" t="s">
        <v>3</v>
      </c>
      <c r="B179" s="81"/>
      <c r="C179" s="22">
        <f>974787.6/1.2+1063369.38</f>
        <v>1875692.38</v>
      </c>
      <c r="D179" s="14"/>
      <c r="E179" s="14"/>
      <c r="F179" s="14"/>
      <c r="G179" s="14"/>
      <c r="H179" s="18"/>
    </row>
    <row r="180" spans="1:17">
      <c r="A180" s="88" t="s">
        <v>4</v>
      </c>
      <c r="B180" s="81"/>
      <c r="C180" s="22">
        <f>8632.62/1.2+9417.12</f>
        <v>16610.97</v>
      </c>
      <c r="D180" s="14"/>
      <c r="E180" s="14"/>
      <c r="F180" s="14"/>
      <c r="G180" s="14"/>
      <c r="H180" s="10"/>
    </row>
    <row r="181" spans="1:17">
      <c r="A181" s="88" t="s">
        <v>6</v>
      </c>
      <c r="B181" s="81"/>
      <c r="C181" s="22">
        <f>51200/1.2</f>
        <v>42666.666666666672</v>
      </c>
      <c r="D181" s="14"/>
      <c r="E181" s="14"/>
      <c r="F181" s="14"/>
      <c r="G181" s="14"/>
      <c r="H181" s="10"/>
    </row>
    <row r="182" spans="1:17">
      <c r="A182" s="24" t="s">
        <v>5</v>
      </c>
      <c r="B182" s="25"/>
      <c r="C182" s="22">
        <v>17900</v>
      </c>
      <c r="D182" s="14"/>
      <c r="E182" s="14"/>
      <c r="F182" s="14"/>
      <c r="G182" s="14"/>
      <c r="H182" s="10"/>
    </row>
    <row r="183" spans="1:17">
      <c r="A183" s="19" t="s">
        <v>7</v>
      </c>
      <c r="B183" s="26"/>
      <c r="C183" s="27">
        <f>SUM(C179:C182)</f>
        <v>1952870.0166666666</v>
      </c>
      <c r="D183" s="14"/>
      <c r="E183" s="14"/>
      <c r="F183" s="14"/>
      <c r="G183" s="14"/>
      <c r="H183" s="10"/>
    </row>
    <row r="184" spans="1:17">
      <c r="A184" s="19"/>
      <c r="B184" s="26"/>
      <c r="C184" s="27"/>
      <c r="D184" s="14"/>
      <c r="E184" s="14"/>
      <c r="F184" s="14"/>
      <c r="G184" s="14"/>
      <c r="H184" s="10"/>
    </row>
    <row r="185" spans="1:17">
      <c r="A185" s="84" t="s">
        <v>8</v>
      </c>
      <c r="B185" s="85"/>
      <c r="C185" s="29"/>
      <c r="D185" s="14"/>
      <c r="E185" s="14"/>
      <c r="F185" s="14"/>
      <c r="G185" s="14"/>
      <c r="H185" s="10"/>
    </row>
    <row r="186" spans="1:17" ht="15" customHeight="1">
      <c r="A186" s="86" t="s">
        <v>9</v>
      </c>
      <c r="B186" s="87"/>
      <c r="C186" s="22">
        <f>2200.4+1750+248365.8</f>
        <v>252316.19999999998</v>
      </c>
      <c r="D186" s="4"/>
      <c r="E186" s="4"/>
      <c r="F186" s="4"/>
      <c r="H186" s="6"/>
      <c r="I186" s="7"/>
      <c r="J186" s="8"/>
      <c r="K186" s="8"/>
      <c r="L186" s="8"/>
      <c r="M186" s="8"/>
      <c r="N186" s="8"/>
      <c r="O186" s="8"/>
      <c r="P186" s="9"/>
      <c r="Q186" s="9"/>
    </row>
    <row r="187" spans="1:17" ht="15" customHeight="1">
      <c r="A187" s="24" t="s">
        <v>11</v>
      </c>
      <c r="B187" s="25"/>
      <c r="C187" s="22">
        <f>1268.41/1.2</f>
        <v>1057.0083333333334</v>
      </c>
      <c r="D187" s="4"/>
      <c r="E187" s="4"/>
      <c r="F187" s="4"/>
      <c r="H187" s="6"/>
      <c r="I187" s="7"/>
      <c r="J187" s="8"/>
      <c r="K187" s="8"/>
      <c r="L187" s="8"/>
      <c r="M187" s="8"/>
      <c r="N187" s="8"/>
      <c r="O187" s="8"/>
      <c r="P187" s="9"/>
      <c r="Q187" s="9"/>
    </row>
    <row r="188" spans="1:17" ht="15" customHeight="1">
      <c r="A188" s="24" t="s">
        <v>12</v>
      </c>
      <c r="B188" s="25"/>
      <c r="C188" s="22">
        <v>44486.28</v>
      </c>
      <c r="D188" s="4"/>
      <c r="E188" s="4"/>
      <c r="F188" s="4"/>
      <c r="H188" s="6"/>
      <c r="I188" s="7"/>
      <c r="J188" s="8"/>
      <c r="K188" s="8"/>
      <c r="L188" s="8"/>
      <c r="M188" s="8"/>
      <c r="N188" s="8"/>
      <c r="O188" s="8"/>
      <c r="P188" s="9"/>
      <c r="Q188" s="9"/>
    </row>
    <row r="189" spans="1:17" ht="15" customHeight="1">
      <c r="A189" s="88" t="s">
        <v>13</v>
      </c>
      <c r="B189" s="81"/>
      <c r="C189" s="22">
        <v>392701.5</v>
      </c>
      <c r="D189" s="4"/>
      <c r="E189" s="4"/>
      <c r="F189" s="4"/>
      <c r="H189" s="6"/>
      <c r="I189" s="7"/>
      <c r="J189" s="8"/>
      <c r="K189" s="8"/>
      <c r="L189" s="8"/>
      <c r="M189" s="8"/>
      <c r="N189" s="8"/>
      <c r="O189" s="8"/>
      <c r="P189" s="9"/>
      <c r="Q189" s="9"/>
    </row>
    <row r="190" spans="1:17" ht="15" customHeight="1">
      <c r="A190" s="82" t="s">
        <v>14</v>
      </c>
      <c r="B190" s="83"/>
      <c r="C190" s="22">
        <v>485943.9</v>
      </c>
      <c r="D190" s="4"/>
      <c r="E190" s="4"/>
      <c r="F190" s="4"/>
      <c r="H190" s="6"/>
      <c r="I190" s="7"/>
      <c r="J190" s="8"/>
      <c r="K190" s="8"/>
      <c r="L190" s="8"/>
      <c r="M190" s="8"/>
      <c r="N190" s="8"/>
      <c r="O190" s="8"/>
      <c r="P190" s="9"/>
      <c r="Q190" s="9"/>
    </row>
    <row r="191" spans="1:17" ht="15" customHeight="1">
      <c r="A191" s="88" t="s">
        <v>53</v>
      </c>
      <c r="B191" s="81"/>
      <c r="C191" s="22">
        <f>190588.72+31276.25</f>
        <v>221864.97</v>
      </c>
      <c r="D191" s="4"/>
      <c r="E191" s="4"/>
      <c r="F191" s="4"/>
      <c r="H191" s="6"/>
      <c r="I191" s="7"/>
      <c r="J191" s="8"/>
      <c r="K191" s="8"/>
      <c r="L191" s="8"/>
      <c r="M191" s="8"/>
      <c r="N191" s="8"/>
      <c r="O191" s="8"/>
      <c r="P191" s="9"/>
      <c r="Q191" s="9"/>
    </row>
    <row r="192" spans="1:17" ht="15" customHeight="1">
      <c r="A192" s="68" t="s">
        <v>65</v>
      </c>
      <c r="B192" s="69"/>
      <c r="C192" s="22">
        <v>470068</v>
      </c>
      <c r="D192" s="4"/>
      <c r="E192" s="4"/>
      <c r="F192" s="4"/>
      <c r="H192" s="6"/>
      <c r="I192" s="7"/>
      <c r="J192" s="8"/>
      <c r="K192" s="8"/>
      <c r="L192" s="8"/>
      <c r="M192" s="8"/>
      <c r="N192" s="8"/>
      <c r="O192" s="8"/>
      <c r="P192" s="9"/>
      <c r="Q192" s="9"/>
    </row>
    <row r="193" spans="1:17" ht="15" customHeight="1">
      <c r="A193" s="24" t="s">
        <v>18</v>
      </c>
      <c r="B193" s="25"/>
      <c r="C193" s="22">
        <f>193449</f>
        <v>193449</v>
      </c>
      <c r="D193" s="4"/>
      <c r="E193" s="4"/>
      <c r="F193" s="4"/>
      <c r="H193" s="6"/>
      <c r="I193" s="7"/>
      <c r="J193" s="8"/>
      <c r="K193" s="8"/>
      <c r="L193" s="8"/>
      <c r="M193" s="8"/>
      <c r="N193" s="8"/>
      <c r="O193" s="8"/>
      <c r="P193" s="9"/>
      <c r="Q193" s="9"/>
    </row>
    <row r="194" spans="1:17" ht="15" customHeight="1" thickBot="1">
      <c r="A194" s="88" t="s">
        <v>19</v>
      </c>
      <c r="B194" s="81"/>
      <c r="C194" s="22">
        <v>474426.87</v>
      </c>
      <c r="D194" s="4"/>
      <c r="E194" s="4"/>
      <c r="F194" s="4"/>
      <c r="H194" s="6"/>
      <c r="I194" s="7"/>
      <c r="J194" s="8"/>
      <c r="K194" s="8"/>
      <c r="L194" s="8"/>
      <c r="M194" s="8"/>
      <c r="N194" s="8"/>
      <c r="O194" s="8"/>
      <c r="P194" s="9"/>
      <c r="Q194" s="9"/>
    </row>
    <row r="195" spans="1:17" ht="15" customHeight="1" thickBot="1">
      <c r="A195" s="95" t="s">
        <v>7</v>
      </c>
      <c r="B195" s="96"/>
      <c r="C195" s="43">
        <f>SUM(C186:C194)</f>
        <v>2536313.728333333</v>
      </c>
      <c r="D195" s="4"/>
      <c r="E195" s="4"/>
      <c r="F195" s="4"/>
      <c r="H195" s="6"/>
      <c r="I195" s="7"/>
      <c r="J195" s="8"/>
      <c r="K195" s="8"/>
      <c r="L195" s="8"/>
      <c r="M195" s="8"/>
      <c r="N195" s="8"/>
      <c r="O195" s="8"/>
      <c r="P195" s="9"/>
      <c r="Q195" s="9"/>
    </row>
    <row r="196" spans="1:17" ht="6" customHeight="1" thickBot="1">
      <c r="A196" s="33"/>
      <c r="B196" s="34"/>
      <c r="C196" s="3"/>
      <c r="D196" s="4"/>
      <c r="E196" s="4"/>
      <c r="F196" s="4"/>
      <c r="H196" s="6"/>
      <c r="I196" s="7"/>
      <c r="J196" s="8"/>
      <c r="K196" s="8"/>
      <c r="L196" s="8"/>
      <c r="M196" s="8"/>
      <c r="N196" s="8"/>
      <c r="O196" s="8"/>
      <c r="P196" s="9"/>
      <c r="Q196" s="9"/>
    </row>
    <row r="198" spans="1:17" ht="16.5" thickBot="1">
      <c r="A198" s="58" t="s">
        <v>34</v>
      </c>
      <c r="B198" s="59"/>
      <c r="C198" s="60"/>
      <c r="D198" s="14"/>
      <c r="E198" s="14"/>
      <c r="F198" s="14"/>
      <c r="G198" s="14"/>
      <c r="H198" s="10"/>
    </row>
    <row r="199" spans="1:17">
      <c r="A199" s="15" t="s">
        <v>1</v>
      </c>
      <c r="B199" s="16"/>
      <c r="C199" s="17"/>
      <c r="D199" s="14"/>
      <c r="E199" s="14"/>
      <c r="F199" s="14"/>
      <c r="G199" s="14"/>
      <c r="H199" s="10"/>
    </row>
    <row r="200" spans="1:17">
      <c r="A200" s="19" t="s">
        <v>49</v>
      </c>
      <c r="B200" s="20"/>
      <c r="C200" s="21">
        <f>1163624.69-4981.22-17198.49-25072.39-193732-173013.7+C201</f>
        <v>1129780.1383333334</v>
      </c>
      <c r="D200" s="14"/>
      <c r="E200" s="14"/>
      <c r="F200" s="14"/>
      <c r="G200" s="14"/>
      <c r="H200" s="10"/>
    </row>
    <row r="201" spans="1:17">
      <c r="A201" s="19" t="s">
        <v>2</v>
      </c>
      <c r="B201" s="20"/>
      <c r="C201" s="21">
        <f>4981.22/1.2+17198.49+25072.39/1.2+193732+173013.7/1.2</f>
        <v>380153.24833333335</v>
      </c>
      <c r="D201" s="14"/>
      <c r="E201" s="14"/>
      <c r="F201" s="14"/>
      <c r="G201" s="14"/>
      <c r="H201" s="10"/>
    </row>
    <row r="202" spans="1:17">
      <c r="A202" s="88" t="s">
        <v>3</v>
      </c>
      <c r="B202" s="81"/>
      <c r="C202" s="22">
        <f>166260.36+244952.4/1.2+1559753.32+1390445.64/1.2</f>
        <v>3088845.38</v>
      </c>
      <c r="D202" s="14"/>
      <c r="E202" s="14"/>
      <c r="F202" s="14"/>
      <c r="G202" s="14"/>
      <c r="H202" s="10"/>
    </row>
    <row r="203" spans="1:17">
      <c r="A203" s="24" t="s">
        <v>6</v>
      </c>
      <c r="B203" s="25"/>
      <c r="C203" s="22">
        <f>85440/1.2</f>
        <v>71200</v>
      </c>
      <c r="D203" s="14"/>
      <c r="E203" s="14"/>
      <c r="F203" s="14"/>
      <c r="G203" s="14"/>
      <c r="H203" s="10"/>
    </row>
    <row r="204" spans="1:17">
      <c r="A204" s="24" t="s">
        <v>5</v>
      </c>
      <c r="B204" s="25"/>
      <c r="C204" s="22">
        <v>24650</v>
      </c>
      <c r="D204" s="14"/>
      <c r="E204" s="14"/>
      <c r="F204" s="14"/>
      <c r="G204" s="14"/>
      <c r="H204" s="10"/>
    </row>
    <row r="205" spans="1:17">
      <c r="A205" s="19" t="s">
        <v>7</v>
      </c>
      <c r="B205" s="26"/>
      <c r="C205" s="27">
        <f>SUM(C202:C204)</f>
        <v>3184695.38</v>
      </c>
      <c r="D205" s="14"/>
      <c r="E205" s="14"/>
      <c r="F205" s="14"/>
      <c r="G205" s="14"/>
      <c r="H205" s="10"/>
    </row>
    <row r="206" spans="1:17">
      <c r="A206" s="19"/>
      <c r="B206" s="26"/>
      <c r="C206" s="27"/>
      <c r="D206" s="14"/>
      <c r="E206" s="14"/>
      <c r="F206" s="14"/>
      <c r="G206" s="14"/>
      <c r="H206" s="10"/>
    </row>
    <row r="207" spans="1:17">
      <c r="A207" s="84" t="s">
        <v>8</v>
      </c>
      <c r="B207" s="85"/>
      <c r="C207" s="29"/>
      <c r="D207" s="14"/>
      <c r="E207" s="14"/>
      <c r="F207" s="14"/>
      <c r="G207" s="14"/>
      <c r="H207" s="10"/>
    </row>
    <row r="208" spans="1:17" ht="15" customHeight="1">
      <c r="A208" s="86" t="s">
        <v>9</v>
      </c>
      <c r="B208" s="87"/>
      <c r="C208" s="22">
        <f>10406.68+5366.59+15520+422482.12</f>
        <v>453775.39</v>
      </c>
      <c r="D208" s="4"/>
      <c r="E208" s="4"/>
      <c r="F208" s="4"/>
      <c r="H208" s="6"/>
      <c r="I208" s="7"/>
      <c r="J208" s="8"/>
      <c r="K208" s="8"/>
      <c r="L208" s="8"/>
      <c r="M208" s="8"/>
      <c r="N208" s="8"/>
      <c r="O208" s="8"/>
      <c r="P208" s="9"/>
      <c r="Q208" s="9"/>
    </row>
    <row r="209" spans="1:17" ht="15" customHeight="1">
      <c r="A209" s="24" t="s">
        <v>11</v>
      </c>
      <c r="B209" s="25"/>
      <c r="C209" s="22">
        <f>1268.41/1.2+80</f>
        <v>1137.0083333333334</v>
      </c>
      <c r="D209" s="4"/>
      <c r="E209" s="4"/>
      <c r="F209" s="4"/>
      <c r="H209" s="18"/>
      <c r="I209" s="7"/>
      <c r="J209" s="8"/>
      <c r="K209" s="8"/>
      <c r="L209" s="8"/>
      <c r="M209" s="8"/>
      <c r="N209" s="8"/>
      <c r="O209" s="8"/>
      <c r="P209" s="9"/>
      <c r="Q209" s="9"/>
    </row>
    <row r="210" spans="1:17" ht="15" customHeight="1">
      <c r="A210" s="88" t="s">
        <v>15</v>
      </c>
      <c r="B210" s="81"/>
      <c r="C210" s="22">
        <v>18924.84</v>
      </c>
      <c r="D210" s="4"/>
      <c r="E210" s="4"/>
      <c r="F210" s="4"/>
      <c r="H210" s="6"/>
      <c r="I210" s="7"/>
      <c r="J210" s="8"/>
      <c r="K210" s="8"/>
      <c r="L210" s="8"/>
      <c r="M210" s="8"/>
      <c r="N210" s="8"/>
      <c r="O210" s="8"/>
      <c r="P210" s="9"/>
      <c r="Q210" s="9"/>
    </row>
    <row r="211" spans="1:17" ht="15" customHeight="1">
      <c r="A211" s="24" t="s">
        <v>12</v>
      </c>
      <c r="B211" s="25"/>
      <c r="C211" s="22">
        <v>75246</v>
      </c>
      <c r="D211" s="4"/>
      <c r="E211" s="4"/>
      <c r="F211" s="4"/>
      <c r="H211" s="6"/>
      <c r="I211" s="7"/>
      <c r="J211" s="8"/>
      <c r="K211" s="8"/>
      <c r="L211" s="8"/>
      <c r="M211" s="8"/>
      <c r="N211" s="8"/>
      <c r="O211" s="8"/>
      <c r="P211" s="9"/>
      <c r="Q211" s="9"/>
    </row>
    <row r="212" spans="1:17" ht="15" customHeight="1">
      <c r="A212" s="88" t="s">
        <v>13</v>
      </c>
      <c r="B212" s="81"/>
      <c r="C212" s="22">
        <v>570919.26</v>
      </c>
      <c r="D212" s="4"/>
      <c r="E212" s="4"/>
      <c r="F212" s="4"/>
      <c r="H212" s="6"/>
      <c r="I212" s="7"/>
      <c r="J212" s="8"/>
      <c r="K212" s="8"/>
      <c r="L212" s="8"/>
      <c r="M212" s="8"/>
      <c r="N212" s="8"/>
      <c r="O212" s="8"/>
      <c r="P212" s="9"/>
      <c r="Q212" s="9"/>
    </row>
    <row r="213" spans="1:17" ht="15" customHeight="1">
      <c r="A213" s="82" t="s">
        <v>54</v>
      </c>
      <c r="B213" s="83"/>
      <c r="C213" s="22">
        <v>2398.4</v>
      </c>
      <c r="D213" s="4"/>
      <c r="E213" s="4"/>
      <c r="F213" s="4"/>
      <c r="H213" s="6"/>
      <c r="I213" s="7"/>
      <c r="J213" s="8"/>
      <c r="K213" s="8"/>
      <c r="L213" s="8"/>
      <c r="M213" s="8"/>
      <c r="N213" s="8"/>
      <c r="O213" s="8"/>
      <c r="P213" s="9"/>
      <c r="Q213" s="9"/>
    </row>
    <row r="214" spans="1:17" ht="15" customHeight="1">
      <c r="A214" s="88" t="s">
        <v>16</v>
      </c>
      <c r="B214" s="81"/>
      <c r="C214" s="22">
        <f>301931.6+25017+53202.4</f>
        <v>380151</v>
      </c>
      <c r="D214" s="4"/>
      <c r="E214" s="4"/>
      <c r="F214" s="4"/>
      <c r="H214" s="6"/>
      <c r="I214" s="7"/>
      <c r="J214" s="8"/>
      <c r="K214" s="8"/>
      <c r="L214" s="8"/>
      <c r="M214" s="8"/>
      <c r="N214" s="8"/>
      <c r="O214" s="8"/>
      <c r="P214" s="9"/>
      <c r="Q214" s="9"/>
    </row>
    <row r="215" spans="1:17" ht="15" customHeight="1">
      <c r="A215" s="24" t="s">
        <v>14</v>
      </c>
      <c r="B215" s="25"/>
      <c r="C215" s="22">
        <v>832056.24</v>
      </c>
      <c r="D215" s="4"/>
      <c r="E215" s="4"/>
      <c r="F215" s="4"/>
      <c r="H215" s="6"/>
      <c r="I215" s="7"/>
      <c r="J215" s="8"/>
      <c r="K215" s="8"/>
      <c r="L215" s="8"/>
      <c r="M215" s="8"/>
      <c r="N215" s="8"/>
      <c r="O215" s="8"/>
      <c r="P215" s="9"/>
      <c r="Q215" s="9"/>
    </row>
    <row r="216" spans="1:17" ht="15" customHeight="1">
      <c r="A216" s="24" t="s">
        <v>56</v>
      </c>
      <c r="B216" s="25"/>
      <c r="C216" s="22">
        <v>8632.5300000000007</v>
      </c>
      <c r="D216" s="4"/>
      <c r="E216" s="4"/>
      <c r="F216" s="4"/>
      <c r="H216" s="6"/>
      <c r="I216" s="7"/>
      <c r="J216" s="8"/>
      <c r="K216" s="8"/>
      <c r="L216" s="8"/>
      <c r="M216" s="8"/>
      <c r="N216" s="8"/>
      <c r="O216" s="8"/>
      <c r="P216" s="9"/>
      <c r="Q216" s="9"/>
    </row>
    <row r="217" spans="1:17" ht="15" customHeight="1">
      <c r="A217" s="24" t="s">
        <v>18</v>
      </c>
      <c r="B217" s="25"/>
      <c r="C217" s="22">
        <v>323129.40000000002</v>
      </c>
      <c r="D217" s="4"/>
      <c r="E217" s="4"/>
      <c r="F217" s="4"/>
      <c r="H217" s="6"/>
      <c r="I217" s="7"/>
      <c r="J217" s="8"/>
      <c r="K217" s="8"/>
      <c r="L217" s="8"/>
      <c r="M217" s="8"/>
      <c r="N217" s="8"/>
      <c r="O217" s="8"/>
      <c r="P217" s="9"/>
      <c r="Q217" s="9"/>
    </row>
    <row r="218" spans="1:17" ht="15" customHeight="1" thickBot="1">
      <c r="A218" s="89" t="s">
        <v>19</v>
      </c>
      <c r="B218" s="90"/>
      <c r="C218" s="32">
        <v>807022.82</v>
      </c>
      <c r="D218" s="4"/>
      <c r="E218" s="4"/>
      <c r="F218" s="4"/>
      <c r="H218" s="6"/>
      <c r="I218" s="7"/>
      <c r="J218" s="8"/>
      <c r="K218" s="8"/>
      <c r="L218" s="8"/>
      <c r="M218" s="8"/>
      <c r="N218" s="8"/>
      <c r="O218" s="8"/>
      <c r="P218" s="9"/>
      <c r="Q218" s="9"/>
    </row>
    <row r="219" spans="1:17" ht="16.5" thickBot="1">
      <c r="A219" s="91" t="s">
        <v>27</v>
      </c>
      <c r="B219" s="92"/>
      <c r="C219" s="3">
        <f>SUM(C208:C218)</f>
        <v>3473392.8883333332</v>
      </c>
      <c r="D219" s="14"/>
      <c r="E219" s="14"/>
      <c r="F219" s="14"/>
      <c r="G219" s="14"/>
      <c r="H219" s="10"/>
    </row>
    <row r="220" spans="1:17" ht="6.75" customHeight="1" thickBot="1">
      <c r="A220" s="48"/>
      <c r="B220" s="49"/>
      <c r="C220" s="3"/>
      <c r="D220" s="14"/>
      <c r="E220" s="14"/>
      <c r="F220" s="14"/>
      <c r="G220" s="14"/>
      <c r="H220" s="10"/>
    </row>
    <row r="221" spans="1:17" s="20" customFormat="1" ht="13.5" customHeight="1" thickBot="1">
      <c r="A221" s="81"/>
      <c r="B221" s="81"/>
      <c r="C221" s="23"/>
      <c r="D221" s="4"/>
      <c r="E221" s="4"/>
      <c r="F221" s="4"/>
      <c r="G221" s="4"/>
    </row>
    <row r="222" spans="1:17" ht="16.5" thickBot="1">
      <c r="A222" s="11" t="s">
        <v>35</v>
      </c>
      <c r="B222" s="12"/>
      <c r="C222" s="13"/>
      <c r="D222" s="14"/>
      <c r="E222" s="14"/>
      <c r="F222" s="14"/>
      <c r="G222" s="14"/>
      <c r="H222" s="10"/>
    </row>
    <row r="223" spans="1:17">
      <c r="A223" s="15" t="s">
        <v>1</v>
      </c>
      <c r="B223" s="16"/>
      <c r="C223" s="29"/>
      <c r="D223" s="14"/>
      <c r="E223" s="14"/>
      <c r="F223" s="14"/>
      <c r="G223" s="14"/>
      <c r="H223" s="10"/>
    </row>
    <row r="224" spans="1:17">
      <c r="A224" s="19" t="s">
        <v>49</v>
      </c>
      <c r="B224" s="20"/>
      <c r="C224" s="21">
        <f>1461161.63-1045.96-18080.36-26819-225021.13-211714.79+C225</f>
        <v>1421231.6716666664</v>
      </c>
      <c r="D224" s="14"/>
      <c r="E224" s="14"/>
      <c r="F224" s="14"/>
      <c r="G224" s="14"/>
      <c r="H224" s="10"/>
    </row>
    <row r="225" spans="1:17">
      <c r="A225" s="19" t="s">
        <v>2</v>
      </c>
      <c r="B225" s="20"/>
      <c r="C225" s="21">
        <f>1045.96/1.2+18080.36+26819/1.2+225021.13+211714.79/1.2</f>
        <v>442751.28166666673</v>
      </c>
      <c r="D225" s="14"/>
      <c r="E225" s="14"/>
      <c r="F225" s="14"/>
      <c r="G225" s="14"/>
      <c r="H225" s="10"/>
    </row>
    <row r="226" spans="1:17">
      <c r="A226" s="88" t="s">
        <v>3</v>
      </c>
      <c r="B226" s="81"/>
      <c r="C226" s="22">
        <f>165543+243895.02/1.2+1552127.52+1383648.06/1.2</f>
        <v>3073956.42</v>
      </c>
      <c r="D226" s="14"/>
      <c r="E226" s="14"/>
      <c r="F226" s="14"/>
      <c r="G226" s="14"/>
      <c r="H226" s="18"/>
    </row>
    <row r="227" spans="1:17">
      <c r="A227" s="24" t="s">
        <v>24</v>
      </c>
      <c r="B227" s="25"/>
      <c r="C227" s="22">
        <f>15922.62+14194.2/1.2</f>
        <v>27751.120000000003</v>
      </c>
      <c r="D227" s="14"/>
      <c r="E227" s="14"/>
      <c r="F227" s="14"/>
      <c r="G227" s="14"/>
      <c r="H227" s="18"/>
    </row>
    <row r="228" spans="1:17">
      <c r="A228" s="24" t="s">
        <v>6</v>
      </c>
      <c r="B228" s="25"/>
      <c r="C228" s="22">
        <f>67200/1.2</f>
        <v>56000</v>
      </c>
      <c r="D228" s="14"/>
      <c r="E228" s="14"/>
      <c r="F228" s="14"/>
      <c r="G228" s="14"/>
      <c r="H228" s="10"/>
    </row>
    <row r="229" spans="1:17">
      <c r="A229" s="24" t="s">
        <v>5</v>
      </c>
      <c r="B229" s="25"/>
      <c r="C229" s="22">
        <v>24650</v>
      </c>
      <c r="D229" s="14"/>
      <c r="E229" s="14"/>
      <c r="F229" s="14"/>
      <c r="G229" s="14"/>
      <c r="H229" s="10"/>
    </row>
    <row r="230" spans="1:17">
      <c r="A230" s="19" t="s">
        <v>7</v>
      </c>
      <c r="B230" s="26"/>
      <c r="C230" s="27">
        <f>SUM(C226:C228)</f>
        <v>3157707.54</v>
      </c>
      <c r="D230" s="14"/>
      <c r="E230" s="14"/>
      <c r="F230" s="14"/>
      <c r="G230" s="14"/>
      <c r="H230" s="10"/>
    </row>
    <row r="231" spans="1:17">
      <c r="A231" s="19"/>
      <c r="B231" s="26"/>
      <c r="C231" s="27"/>
      <c r="D231" s="14"/>
      <c r="E231" s="14"/>
      <c r="F231" s="14"/>
      <c r="G231" s="14"/>
      <c r="H231" s="10"/>
    </row>
    <row r="232" spans="1:17">
      <c r="A232" s="84" t="s">
        <v>8</v>
      </c>
      <c r="B232" s="85"/>
      <c r="C232" s="29"/>
      <c r="D232" s="14"/>
      <c r="E232" s="14"/>
      <c r="F232" s="14"/>
      <c r="G232" s="14"/>
      <c r="H232" s="10"/>
    </row>
    <row r="233" spans="1:17" ht="15" customHeight="1">
      <c r="A233" s="86" t="s">
        <v>9</v>
      </c>
      <c r="B233" s="87"/>
      <c r="C233" s="22">
        <f>3110.33+422304.67</f>
        <v>425415</v>
      </c>
      <c r="D233" s="4"/>
      <c r="E233" s="4"/>
      <c r="F233" s="4"/>
      <c r="H233" s="6"/>
      <c r="I233" s="7"/>
      <c r="J233" s="8"/>
      <c r="K233" s="8"/>
      <c r="L233" s="8"/>
      <c r="M233" s="8"/>
      <c r="N233" s="8"/>
      <c r="O233" s="8"/>
      <c r="P233" s="9"/>
      <c r="Q233" s="9"/>
    </row>
    <row r="234" spans="1:17" ht="15" customHeight="1">
      <c r="A234" s="24" t="s">
        <v>11</v>
      </c>
      <c r="B234" s="25"/>
      <c r="C234" s="22">
        <f>1268.41/1.2</f>
        <v>1057.0083333333334</v>
      </c>
      <c r="D234" s="4"/>
      <c r="E234" s="4"/>
      <c r="F234" s="4"/>
      <c r="H234" s="6"/>
      <c r="I234" s="7"/>
      <c r="J234" s="8"/>
      <c r="K234" s="8"/>
      <c r="L234" s="8"/>
      <c r="M234" s="8"/>
      <c r="N234" s="8"/>
      <c r="O234" s="8"/>
      <c r="P234" s="9"/>
      <c r="Q234" s="9"/>
    </row>
    <row r="235" spans="1:17" ht="15" customHeight="1">
      <c r="A235" s="24" t="s">
        <v>12</v>
      </c>
      <c r="B235" s="25"/>
      <c r="C235" s="22">
        <v>63993</v>
      </c>
      <c r="D235" s="4"/>
      <c r="E235" s="4"/>
      <c r="F235" s="4"/>
      <c r="H235" s="6"/>
      <c r="I235" s="7"/>
      <c r="J235" s="8"/>
      <c r="K235" s="8"/>
      <c r="L235" s="8"/>
      <c r="M235" s="8"/>
      <c r="N235" s="8"/>
      <c r="O235" s="8"/>
      <c r="P235" s="9"/>
      <c r="Q235" s="9"/>
    </row>
    <row r="236" spans="1:17" ht="15" customHeight="1">
      <c r="A236" s="88" t="s">
        <v>13</v>
      </c>
      <c r="B236" s="81"/>
      <c r="C236" s="22">
        <v>573736.07999999996</v>
      </c>
      <c r="D236" s="4"/>
      <c r="E236" s="4"/>
      <c r="F236" s="4"/>
      <c r="H236" s="6"/>
      <c r="I236" s="7"/>
      <c r="J236" s="8"/>
      <c r="K236" s="8"/>
      <c r="L236" s="8"/>
      <c r="M236" s="8"/>
      <c r="N236" s="8"/>
      <c r="O236" s="8"/>
      <c r="P236" s="9"/>
      <c r="Q236" s="9"/>
    </row>
    <row r="237" spans="1:17" ht="15" customHeight="1">
      <c r="A237" s="82" t="s">
        <v>14</v>
      </c>
      <c r="B237" s="83"/>
      <c r="C237" s="22">
        <v>835306.44</v>
      </c>
      <c r="D237" s="4"/>
      <c r="E237" s="4"/>
      <c r="F237" s="4"/>
      <c r="H237" s="6"/>
      <c r="I237" s="7"/>
      <c r="J237" s="8"/>
      <c r="K237" s="8"/>
      <c r="L237" s="8"/>
      <c r="M237" s="8"/>
      <c r="N237" s="8"/>
      <c r="O237" s="8"/>
      <c r="P237" s="9"/>
      <c r="Q237" s="9"/>
    </row>
    <row r="238" spans="1:17" ht="15" customHeight="1">
      <c r="A238" s="88" t="s">
        <v>16</v>
      </c>
      <c r="B238" s="81"/>
      <c r="C238" s="22">
        <f>282659.04+30046+53180.05</f>
        <v>365885.08999999997</v>
      </c>
      <c r="D238" s="4"/>
      <c r="E238" s="4"/>
      <c r="F238" s="4"/>
      <c r="H238" s="6"/>
      <c r="I238" s="7"/>
      <c r="J238" s="8"/>
      <c r="K238" s="8"/>
      <c r="L238" s="8"/>
      <c r="M238" s="8"/>
      <c r="N238" s="8"/>
      <c r="O238" s="8"/>
      <c r="P238" s="9"/>
      <c r="Q238" s="9"/>
    </row>
    <row r="239" spans="1:17" ht="15" customHeight="1">
      <c r="A239" s="24" t="s">
        <v>18</v>
      </c>
      <c r="B239" s="25"/>
      <c r="C239" s="22">
        <v>324442.56</v>
      </c>
      <c r="D239" s="4"/>
      <c r="E239" s="4"/>
      <c r="F239" s="4"/>
      <c r="H239" s="6"/>
      <c r="I239" s="7"/>
      <c r="J239" s="8"/>
      <c r="K239" s="8"/>
      <c r="L239" s="8"/>
      <c r="M239" s="8"/>
      <c r="N239" s="8"/>
      <c r="O239" s="8"/>
      <c r="P239" s="9"/>
      <c r="Q239" s="9"/>
    </row>
    <row r="240" spans="1:17" ht="15" customHeight="1" thickBot="1">
      <c r="A240" s="89" t="s">
        <v>19</v>
      </c>
      <c r="B240" s="90"/>
      <c r="C240" s="32">
        <v>806683.86</v>
      </c>
      <c r="D240" s="4"/>
      <c r="E240" s="4"/>
      <c r="F240" s="4"/>
      <c r="H240" s="6"/>
      <c r="I240" s="7"/>
      <c r="J240" s="8"/>
      <c r="K240" s="8"/>
      <c r="L240" s="8"/>
      <c r="M240" s="8"/>
      <c r="N240" s="8"/>
      <c r="O240" s="8"/>
      <c r="P240" s="9"/>
      <c r="Q240" s="9"/>
    </row>
    <row r="241" spans="1:17" ht="15" customHeight="1" thickBot="1">
      <c r="A241" s="93" t="s">
        <v>7</v>
      </c>
      <c r="B241" s="94"/>
      <c r="C241" s="3">
        <f>SUM(C233:C240)</f>
        <v>3396519.0383333331</v>
      </c>
      <c r="D241" s="4"/>
      <c r="E241" s="4"/>
      <c r="F241" s="4"/>
      <c r="H241" s="6"/>
      <c r="I241" s="7"/>
      <c r="J241" s="8"/>
      <c r="K241" s="8"/>
      <c r="L241" s="8"/>
      <c r="M241" s="8"/>
      <c r="N241" s="8"/>
      <c r="O241" s="8"/>
      <c r="P241" s="9"/>
      <c r="Q241" s="9"/>
    </row>
    <row r="242" spans="1:17" ht="6.75" customHeight="1" thickBot="1">
      <c r="A242" s="33"/>
      <c r="B242" s="34"/>
      <c r="C242" s="3"/>
      <c r="D242" s="4"/>
      <c r="E242" s="4"/>
      <c r="F242" s="4"/>
      <c r="H242" s="6"/>
      <c r="I242" s="7"/>
      <c r="J242" s="8"/>
      <c r="K242" s="8"/>
      <c r="L242" s="8"/>
      <c r="M242" s="8"/>
      <c r="N242" s="8"/>
      <c r="O242" s="8"/>
      <c r="P242" s="9"/>
      <c r="Q242" s="9"/>
    </row>
    <row r="243" spans="1:17" ht="16.5" thickBot="1"/>
    <row r="244" spans="1:17" ht="16.5" thickBot="1">
      <c r="A244" s="11" t="s">
        <v>36</v>
      </c>
      <c r="B244" s="12"/>
      <c r="C244" s="13"/>
      <c r="D244" s="14"/>
      <c r="E244" s="14"/>
      <c r="F244" s="14"/>
      <c r="G244" s="14"/>
      <c r="H244" s="10"/>
    </row>
    <row r="245" spans="1:17">
      <c r="A245" s="15" t="s">
        <v>1</v>
      </c>
      <c r="B245" s="16"/>
      <c r="C245" s="29"/>
      <c r="D245" s="14"/>
      <c r="E245" s="14"/>
      <c r="F245" s="14"/>
      <c r="G245" s="14"/>
      <c r="H245" s="10"/>
    </row>
    <row r="246" spans="1:17">
      <c r="A246" s="19" t="s">
        <v>49</v>
      </c>
      <c r="B246" s="20"/>
      <c r="C246" s="21">
        <f>1003246.75-49561.32-72803.05-118096.85-111755.73+C247</f>
        <v>972486.95333333337</v>
      </c>
      <c r="D246" s="14"/>
      <c r="E246" s="14"/>
      <c r="F246" s="14"/>
      <c r="G246" s="14"/>
      <c r="H246" s="10"/>
    </row>
    <row r="247" spans="1:17">
      <c r="A247" s="19" t="s">
        <v>2</v>
      </c>
      <c r="B247" s="20"/>
      <c r="C247" s="21">
        <f>49561.32+72803.05/1.2+118096.85+111755.73/1.2</f>
        <v>321457.15333333332</v>
      </c>
      <c r="D247" s="14"/>
      <c r="E247" s="14"/>
      <c r="F247" s="14"/>
      <c r="G247" s="14"/>
      <c r="H247" s="10"/>
    </row>
    <row r="248" spans="1:17">
      <c r="A248" s="88" t="s">
        <v>3</v>
      </c>
      <c r="B248" s="81"/>
      <c r="C248" s="22">
        <f>368898.24+543499.14/1.2+848140.08+756075.96</f>
        <v>2426030.23</v>
      </c>
      <c r="D248" s="14"/>
      <c r="E248" s="14"/>
      <c r="F248" s="14"/>
      <c r="G248" s="14"/>
      <c r="H248" s="10"/>
    </row>
    <row r="249" spans="1:17">
      <c r="A249" s="24" t="s">
        <v>6</v>
      </c>
      <c r="B249" s="25"/>
      <c r="C249" s="22">
        <f>64800/1.2</f>
        <v>54000</v>
      </c>
      <c r="D249" s="14"/>
      <c r="E249" s="14"/>
      <c r="F249" s="14"/>
      <c r="G249" s="14"/>
      <c r="H249" s="10"/>
    </row>
    <row r="250" spans="1:17">
      <c r="A250" s="24" t="s">
        <v>5</v>
      </c>
      <c r="B250" s="25"/>
      <c r="C250" s="22">
        <v>113450</v>
      </c>
      <c r="D250" s="14"/>
      <c r="E250" s="14"/>
      <c r="F250" s="14"/>
      <c r="G250" s="14"/>
      <c r="H250" s="10"/>
    </row>
    <row r="251" spans="1:17">
      <c r="A251" s="19" t="s">
        <v>7</v>
      </c>
      <c r="B251" s="26"/>
      <c r="C251" s="27">
        <f>SUM(C248:C250)</f>
        <v>2593480.23</v>
      </c>
      <c r="D251" s="14"/>
      <c r="E251" s="14"/>
      <c r="F251" s="14"/>
      <c r="G251" s="14"/>
      <c r="H251" s="10"/>
    </row>
    <row r="252" spans="1:17">
      <c r="A252" s="19"/>
      <c r="B252" s="26"/>
      <c r="C252" s="27"/>
      <c r="D252" s="14"/>
      <c r="E252" s="14"/>
      <c r="F252" s="14"/>
      <c r="G252" s="14"/>
      <c r="H252" s="10"/>
    </row>
    <row r="253" spans="1:17">
      <c r="A253" s="84" t="s">
        <v>8</v>
      </c>
      <c r="B253" s="85"/>
      <c r="C253" s="29"/>
      <c r="D253" s="14"/>
      <c r="E253" s="14"/>
      <c r="F253" s="14"/>
      <c r="G253" s="14"/>
      <c r="H253" s="10"/>
    </row>
    <row r="254" spans="1:17" ht="15" customHeight="1">
      <c r="A254" s="86" t="s">
        <v>9</v>
      </c>
      <c r="B254" s="87"/>
      <c r="C254" s="22">
        <f>3871.01+6266.6+497.33+338895.47</f>
        <v>349530.41</v>
      </c>
      <c r="D254" s="4"/>
      <c r="E254" s="4"/>
      <c r="F254" s="4"/>
      <c r="H254" s="18"/>
      <c r="I254" s="7"/>
      <c r="J254" s="8"/>
      <c r="K254" s="8"/>
      <c r="L254" s="8"/>
      <c r="M254" s="8"/>
      <c r="N254" s="8"/>
      <c r="O254" s="8"/>
      <c r="P254" s="9"/>
      <c r="Q254" s="9"/>
    </row>
    <row r="255" spans="1:17" ht="15" customHeight="1">
      <c r="A255" s="24" t="s">
        <v>11</v>
      </c>
      <c r="B255" s="25"/>
      <c r="C255" s="22">
        <f>1268.41+80</f>
        <v>1348.41</v>
      </c>
      <c r="D255" s="4"/>
      <c r="E255" s="4"/>
      <c r="F255" s="4"/>
      <c r="H255" s="6"/>
      <c r="I255" s="7"/>
      <c r="J255" s="8"/>
      <c r="K255" s="8"/>
      <c r="L255" s="8"/>
      <c r="M255" s="8"/>
      <c r="N255" s="8"/>
      <c r="O255" s="8"/>
      <c r="P255" s="9"/>
      <c r="Q255" s="9"/>
    </row>
    <row r="256" spans="1:17" ht="15" customHeight="1">
      <c r="A256" s="24" t="s">
        <v>12</v>
      </c>
      <c r="B256" s="25"/>
      <c r="C256" s="22">
        <v>57035.16</v>
      </c>
      <c r="D256" s="4"/>
      <c r="E256" s="4"/>
      <c r="F256" s="4"/>
      <c r="H256" s="6"/>
      <c r="I256" s="7"/>
      <c r="J256" s="8"/>
      <c r="K256" s="8"/>
      <c r="L256" s="8"/>
      <c r="M256" s="8"/>
      <c r="N256" s="8"/>
      <c r="O256" s="8"/>
      <c r="P256" s="9"/>
      <c r="Q256" s="9"/>
    </row>
    <row r="257" spans="1:17" ht="15" customHeight="1">
      <c r="A257" s="88" t="s">
        <v>13</v>
      </c>
      <c r="B257" s="81"/>
      <c r="C257" s="22">
        <v>310443.84000000003</v>
      </c>
      <c r="D257" s="4"/>
      <c r="E257" s="4"/>
      <c r="F257" s="4"/>
      <c r="H257" s="6"/>
      <c r="I257" s="7"/>
      <c r="J257" s="8"/>
      <c r="K257" s="8"/>
      <c r="L257" s="8"/>
      <c r="M257" s="8"/>
      <c r="N257" s="8"/>
      <c r="O257" s="8"/>
      <c r="P257" s="9"/>
      <c r="Q257" s="9"/>
    </row>
    <row r="258" spans="1:17" ht="15" customHeight="1">
      <c r="A258" s="82" t="s">
        <v>14</v>
      </c>
      <c r="B258" s="83"/>
      <c r="C258" s="22">
        <f>651087.9</f>
        <v>651087.9</v>
      </c>
      <c r="D258" s="4"/>
      <c r="E258" s="4"/>
      <c r="F258" s="4"/>
      <c r="H258" s="6"/>
      <c r="I258" s="7"/>
      <c r="J258" s="8"/>
      <c r="K258" s="8"/>
      <c r="L258" s="8"/>
      <c r="M258" s="8"/>
      <c r="N258" s="8"/>
      <c r="O258" s="8"/>
      <c r="P258" s="9"/>
      <c r="Q258" s="9"/>
    </row>
    <row r="259" spans="1:17" ht="15" customHeight="1">
      <c r="A259" s="88" t="s">
        <v>16</v>
      </c>
      <c r="B259" s="81"/>
      <c r="C259" s="22">
        <f>237662.76+42676.48</f>
        <v>280339.24</v>
      </c>
      <c r="D259" s="4"/>
      <c r="E259" s="4"/>
      <c r="F259" s="4"/>
      <c r="H259" s="6"/>
      <c r="I259" s="7"/>
      <c r="J259" s="8"/>
      <c r="K259" s="8"/>
      <c r="L259" s="8"/>
      <c r="M259" s="8"/>
      <c r="N259" s="8"/>
      <c r="O259" s="8"/>
      <c r="P259" s="9"/>
      <c r="Q259" s="9"/>
    </row>
    <row r="260" spans="1:17" ht="15" customHeight="1">
      <c r="A260" s="24" t="s">
        <v>54</v>
      </c>
      <c r="B260" s="25"/>
      <c r="C260" s="22">
        <v>2398.4</v>
      </c>
      <c r="D260" s="4"/>
      <c r="E260" s="4"/>
      <c r="F260" s="4"/>
      <c r="H260" s="6"/>
      <c r="I260" s="7"/>
      <c r="J260" s="8"/>
      <c r="K260" s="8"/>
      <c r="L260" s="8"/>
      <c r="M260" s="8"/>
      <c r="N260" s="8"/>
      <c r="O260" s="8"/>
      <c r="P260" s="9"/>
      <c r="Q260" s="9"/>
    </row>
    <row r="261" spans="1:17" ht="15" customHeight="1">
      <c r="A261" s="24" t="s">
        <v>17</v>
      </c>
      <c r="B261" s="25"/>
      <c r="C261" s="22">
        <v>14387.55</v>
      </c>
      <c r="D261" s="4"/>
      <c r="E261" s="4"/>
      <c r="F261" s="4"/>
      <c r="H261" s="6"/>
      <c r="I261" s="7"/>
      <c r="J261" s="8"/>
      <c r="K261" s="8"/>
      <c r="L261" s="8"/>
      <c r="M261" s="8"/>
      <c r="N261" s="8"/>
      <c r="O261" s="8"/>
      <c r="P261" s="9"/>
      <c r="Q261" s="9"/>
    </row>
    <row r="262" spans="1:17" ht="15" customHeight="1">
      <c r="A262" s="24" t="s">
        <v>18</v>
      </c>
      <c r="B262" s="25"/>
      <c r="C262" s="22">
        <v>245869.68</v>
      </c>
      <c r="D262" s="4"/>
      <c r="E262" s="4"/>
      <c r="F262" s="4"/>
      <c r="H262" s="6"/>
      <c r="I262" s="7"/>
      <c r="J262" s="8"/>
      <c r="K262" s="8"/>
      <c r="L262" s="8"/>
      <c r="M262" s="8"/>
      <c r="N262" s="8"/>
      <c r="O262" s="8"/>
      <c r="P262" s="9"/>
      <c r="Q262" s="9"/>
    </row>
    <row r="263" spans="1:17" ht="15" customHeight="1" thickBot="1">
      <c r="A263" s="89" t="s">
        <v>19</v>
      </c>
      <c r="B263" s="90"/>
      <c r="C263" s="32">
        <v>647356.1</v>
      </c>
      <c r="D263" s="4"/>
      <c r="E263" s="4"/>
      <c r="F263" s="4"/>
      <c r="H263" s="6"/>
      <c r="I263" s="7"/>
      <c r="J263" s="8"/>
      <c r="K263" s="8"/>
      <c r="L263" s="8"/>
      <c r="M263" s="8"/>
      <c r="N263" s="8"/>
      <c r="O263" s="8"/>
      <c r="P263" s="9"/>
      <c r="Q263" s="9"/>
    </row>
    <row r="264" spans="1:17" ht="16.5" thickBot="1">
      <c r="A264" s="91" t="s">
        <v>37</v>
      </c>
      <c r="B264" s="92"/>
      <c r="C264" s="3">
        <f>SUM(C254:C263)</f>
        <v>2559796.69</v>
      </c>
      <c r="D264" s="14"/>
      <c r="E264" s="14"/>
      <c r="F264" s="14"/>
      <c r="G264" s="14"/>
      <c r="H264" s="10"/>
    </row>
    <row r="265" spans="1:17" ht="6" customHeight="1" thickBot="1">
      <c r="A265" s="48"/>
      <c r="B265" s="49"/>
      <c r="C265" s="3"/>
      <c r="D265" s="14"/>
      <c r="E265" s="14"/>
      <c r="F265" s="14"/>
      <c r="G265" s="14"/>
      <c r="H265" s="10"/>
    </row>
    <row r="266" spans="1:17" ht="16.5" thickBot="1"/>
    <row r="267" spans="1:17" ht="16.5" thickBot="1">
      <c r="A267" s="11" t="s">
        <v>38</v>
      </c>
      <c r="B267" s="12"/>
      <c r="C267" s="13"/>
      <c r="D267" s="14"/>
      <c r="E267" s="14"/>
      <c r="F267" s="14"/>
      <c r="G267" s="14"/>
      <c r="H267" s="10"/>
    </row>
    <row r="268" spans="1:17">
      <c r="A268" s="15" t="s">
        <v>1</v>
      </c>
      <c r="B268" s="16"/>
      <c r="C268" s="17"/>
      <c r="D268" s="14"/>
      <c r="E268" s="14"/>
      <c r="F268" s="14"/>
      <c r="G268" s="14"/>
      <c r="H268" s="10"/>
    </row>
    <row r="269" spans="1:17">
      <c r="A269" s="19" t="s">
        <v>49</v>
      </c>
      <c r="B269" s="20"/>
      <c r="C269" s="21">
        <f>1543099.52-121615.55-255248.31-114627+C270</f>
        <v>1503725.7616666667</v>
      </c>
      <c r="D269" s="14"/>
      <c r="E269" s="14"/>
      <c r="F269" s="14"/>
      <c r="G269" s="14"/>
      <c r="H269" s="10"/>
    </row>
    <row r="270" spans="1:17">
      <c r="A270" s="19" t="s">
        <v>2</v>
      </c>
      <c r="B270" s="20"/>
      <c r="C270" s="21">
        <f>121615.55/1.2+255248.31+114627/1.2</f>
        <v>452117.10166666668</v>
      </c>
      <c r="D270" s="14"/>
      <c r="E270" s="14"/>
      <c r="F270" s="14"/>
      <c r="G270" s="14"/>
      <c r="H270" s="10"/>
    </row>
    <row r="271" spans="1:17">
      <c r="A271" s="88" t="s">
        <v>3</v>
      </c>
      <c r="B271" s="81"/>
      <c r="C271" s="22">
        <f>1058728.56/1.2+2110093.68+851475.24/1.2</f>
        <v>3701930.1800000006</v>
      </c>
      <c r="D271" s="14"/>
      <c r="E271" s="14"/>
      <c r="F271" s="14"/>
      <c r="G271" s="14"/>
      <c r="H271" s="18"/>
    </row>
    <row r="272" spans="1:17">
      <c r="A272" s="88" t="s">
        <v>4</v>
      </c>
      <c r="B272" s="81"/>
      <c r="C272" s="22">
        <f>64988.76/1.2+281648.16+186135.12/1.2+36445.48/1.2</f>
        <v>521289.29333333328</v>
      </c>
      <c r="D272" s="14"/>
      <c r="E272" s="14"/>
      <c r="F272" s="14"/>
      <c r="G272" s="14"/>
      <c r="H272" s="10"/>
    </row>
    <row r="273" spans="1:17">
      <c r="A273" s="24" t="s">
        <v>5</v>
      </c>
      <c r="B273" s="25"/>
      <c r="C273" s="22">
        <v>50900</v>
      </c>
      <c r="E273" s="14"/>
      <c r="F273" s="14"/>
      <c r="G273" s="14"/>
      <c r="H273" s="10"/>
    </row>
    <row r="274" spans="1:17">
      <c r="A274" s="24" t="s">
        <v>6</v>
      </c>
      <c r="B274" s="25"/>
      <c r="C274" s="22">
        <f>84960/1.2</f>
        <v>70800</v>
      </c>
      <c r="D274" s="14"/>
      <c r="E274" s="14"/>
      <c r="F274" s="14"/>
      <c r="G274" s="14"/>
      <c r="H274" s="10"/>
    </row>
    <row r="275" spans="1:17">
      <c r="A275" s="24" t="s">
        <v>25</v>
      </c>
      <c r="B275" s="25"/>
      <c r="C275" s="22">
        <f>778680/1.2</f>
        <v>648900</v>
      </c>
      <c r="D275" s="14"/>
      <c r="E275" s="14"/>
      <c r="F275" s="14"/>
      <c r="G275" s="14"/>
      <c r="H275" s="10"/>
    </row>
    <row r="276" spans="1:17">
      <c r="A276" s="19" t="s">
        <v>7</v>
      </c>
      <c r="B276" s="26"/>
      <c r="C276" s="27">
        <f>SUM(C271:C275)</f>
        <v>4993819.4733333336</v>
      </c>
      <c r="D276" s="14"/>
      <c r="E276" s="14"/>
      <c r="F276" s="14"/>
      <c r="G276" s="14"/>
      <c r="H276" s="10"/>
    </row>
    <row r="277" spans="1:17">
      <c r="A277" s="19"/>
      <c r="B277" s="26"/>
      <c r="C277" s="27"/>
      <c r="D277" s="14"/>
      <c r="E277" s="14"/>
      <c r="F277" s="14"/>
      <c r="G277" s="14"/>
      <c r="H277" s="10"/>
    </row>
    <row r="278" spans="1:17">
      <c r="A278" s="84" t="s">
        <v>8</v>
      </c>
      <c r="B278" s="85"/>
      <c r="C278" s="29"/>
      <c r="D278" s="14"/>
      <c r="E278" s="14"/>
      <c r="F278" s="14"/>
      <c r="G278" s="14"/>
      <c r="H278" s="10"/>
    </row>
    <row r="279" spans="1:17" ht="15" customHeight="1">
      <c r="A279" s="86" t="s">
        <v>9</v>
      </c>
      <c r="B279" s="87"/>
      <c r="C279" s="22">
        <f>550064.71+4340.17/1.2+2375+2810</f>
        <v>558866.51833333331</v>
      </c>
      <c r="D279" s="4"/>
      <c r="E279" s="4"/>
      <c r="F279" s="4"/>
      <c r="H279" s="6"/>
      <c r="I279" s="7"/>
      <c r="J279" s="8"/>
      <c r="K279" s="8"/>
      <c r="L279" s="8"/>
      <c r="M279" s="8"/>
      <c r="N279" s="8"/>
      <c r="O279" s="8"/>
      <c r="P279" s="9"/>
      <c r="Q279" s="9"/>
    </row>
    <row r="280" spans="1:17" ht="15" customHeight="1">
      <c r="A280" s="24" t="s">
        <v>11</v>
      </c>
      <c r="B280" s="25"/>
      <c r="C280" s="22">
        <f>2536.82/1.2+80</f>
        <v>2194.0166666666669</v>
      </c>
      <c r="D280" s="4"/>
      <c r="E280" s="4"/>
      <c r="F280" s="4"/>
      <c r="H280" s="18"/>
      <c r="I280" s="7"/>
      <c r="J280" s="8"/>
      <c r="K280" s="8"/>
      <c r="L280" s="8"/>
      <c r="M280" s="8"/>
      <c r="N280" s="8"/>
      <c r="O280" s="8"/>
      <c r="P280" s="9"/>
      <c r="Q280" s="9"/>
    </row>
    <row r="281" spans="1:17" ht="15" customHeight="1">
      <c r="A281" s="68" t="s">
        <v>16</v>
      </c>
      <c r="B281" s="25"/>
      <c r="C281" s="22">
        <f>69268.64+374328.96</f>
        <v>443597.60000000003</v>
      </c>
      <c r="D281" s="4"/>
      <c r="E281" s="4"/>
      <c r="F281" s="4"/>
      <c r="H281" s="18"/>
      <c r="I281" s="7"/>
      <c r="J281" s="8"/>
      <c r="K281" s="8"/>
      <c r="L281" s="8"/>
      <c r="M281" s="8"/>
      <c r="N281" s="8"/>
      <c r="O281" s="8"/>
      <c r="P281" s="9"/>
      <c r="Q281" s="9"/>
    </row>
    <row r="282" spans="1:17" ht="15" customHeight="1">
      <c r="A282" s="68" t="s">
        <v>64</v>
      </c>
      <c r="B282" s="69"/>
      <c r="C282" s="22">
        <v>755419</v>
      </c>
      <c r="D282" s="4"/>
      <c r="E282" s="4"/>
      <c r="F282" s="4"/>
      <c r="H282" s="18"/>
      <c r="I282" s="7"/>
      <c r="J282" s="8"/>
      <c r="K282" s="8"/>
      <c r="L282" s="8"/>
      <c r="M282" s="8"/>
      <c r="N282" s="8"/>
      <c r="O282" s="8"/>
      <c r="P282" s="9"/>
      <c r="Q282" s="9"/>
    </row>
    <row r="283" spans="1:17" ht="15" customHeight="1">
      <c r="A283" s="24" t="s">
        <v>25</v>
      </c>
      <c r="B283" s="25"/>
      <c r="C283" s="22">
        <f>595350+53550</f>
        <v>648900</v>
      </c>
      <c r="D283" s="4"/>
      <c r="E283" s="4"/>
      <c r="F283" s="4"/>
      <c r="H283" s="18"/>
      <c r="I283" s="7"/>
      <c r="J283" s="8"/>
      <c r="K283" s="8"/>
      <c r="L283" s="8"/>
      <c r="M283" s="8"/>
      <c r="N283" s="8"/>
      <c r="O283" s="8"/>
      <c r="P283" s="9"/>
      <c r="Q283" s="9"/>
    </row>
    <row r="284" spans="1:17">
      <c r="A284" s="24" t="s">
        <v>12</v>
      </c>
      <c r="B284" s="25"/>
      <c r="C284" s="22">
        <v>88269.24</v>
      </c>
      <c r="D284" s="4"/>
      <c r="E284" s="4"/>
      <c r="F284" s="4"/>
      <c r="H284" s="6"/>
      <c r="I284" s="7"/>
      <c r="J284" s="8"/>
      <c r="K284" s="8"/>
      <c r="L284" s="8"/>
      <c r="M284" s="8"/>
      <c r="N284" s="8"/>
      <c r="O284" s="8"/>
      <c r="P284" s="9"/>
      <c r="Q284" s="9"/>
    </row>
    <row r="285" spans="1:17" ht="15" customHeight="1">
      <c r="A285" s="88" t="s">
        <v>13</v>
      </c>
      <c r="B285" s="81"/>
      <c r="C285" s="22">
        <v>875447.22</v>
      </c>
      <c r="D285" s="4"/>
      <c r="E285" s="4"/>
      <c r="F285" s="4"/>
      <c r="H285" s="6"/>
      <c r="I285" s="7"/>
      <c r="J285" s="8"/>
      <c r="K285" s="8"/>
      <c r="L285" s="8"/>
      <c r="M285" s="8"/>
      <c r="N285" s="8"/>
      <c r="O285" s="8"/>
      <c r="P285" s="9"/>
      <c r="Q285" s="9"/>
    </row>
    <row r="286" spans="1:17" ht="15" customHeight="1">
      <c r="A286" s="82" t="s">
        <v>14</v>
      </c>
      <c r="B286" s="83"/>
      <c r="C286" s="22">
        <f>1090052.94</f>
        <v>1090052.94</v>
      </c>
      <c r="D286" s="4"/>
      <c r="E286" s="4"/>
      <c r="F286" s="4"/>
      <c r="H286" s="6"/>
      <c r="I286" s="7"/>
      <c r="J286" s="8"/>
      <c r="K286" s="8"/>
      <c r="L286" s="8"/>
      <c r="M286" s="8"/>
      <c r="N286" s="8"/>
      <c r="O286" s="8"/>
      <c r="P286" s="9"/>
      <c r="Q286" s="9"/>
    </row>
    <row r="287" spans="1:17" ht="15" customHeight="1">
      <c r="A287" s="24" t="s">
        <v>18</v>
      </c>
      <c r="B287" s="25"/>
      <c r="C287" s="22">
        <v>433770.6</v>
      </c>
      <c r="D287" s="4"/>
      <c r="E287" s="4"/>
      <c r="F287" s="4"/>
      <c r="H287" s="6"/>
      <c r="I287" s="7"/>
      <c r="J287" s="8"/>
      <c r="K287" s="8"/>
      <c r="L287" s="8"/>
      <c r="M287" s="8"/>
      <c r="N287" s="8"/>
      <c r="O287" s="8"/>
      <c r="P287" s="9"/>
      <c r="Q287" s="9"/>
    </row>
    <row r="288" spans="1:17" ht="15" customHeight="1" thickBot="1">
      <c r="A288" s="89" t="s">
        <v>19</v>
      </c>
      <c r="B288" s="90"/>
      <c r="C288" s="32">
        <f>1050730.31-53550</f>
        <v>997180.31</v>
      </c>
      <c r="D288" s="4"/>
      <c r="E288" s="4"/>
      <c r="F288" s="4"/>
      <c r="H288" s="6"/>
      <c r="I288" s="7"/>
      <c r="J288" s="8"/>
      <c r="K288" s="8"/>
      <c r="L288" s="8"/>
      <c r="M288" s="8"/>
      <c r="N288" s="8"/>
      <c r="O288" s="8"/>
      <c r="P288" s="9"/>
      <c r="Q288" s="9"/>
    </row>
    <row r="289" spans="1:17" ht="15" customHeight="1" thickBot="1">
      <c r="A289" s="93" t="s">
        <v>7</v>
      </c>
      <c r="B289" s="94"/>
      <c r="C289" s="3">
        <f>SUM(C279:C288)</f>
        <v>5893697.4450000003</v>
      </c>
      <c r="D289" s="4"/>
      <c r="E289" s="4"/>
      <c r="F289" s="4"/>
      <c r="H289" s="6"/>
      <c r="I289" s="7"/>
      <c r="J289" s="8"/>
      <c r="K289" s="8"/>
      <c r="L289" s="8"/>
      <c r="M289" s="8"/>
      <c r="N289" s="8"/>
      <c r="O289" s="8"/>
      <c r="P289" s="9"/>
      <c r="Q289" s="9"/>
    </row>
    <row r="290" spans="1:17" ht="5.25" customHeight="1" thickBot="1">
      <c r="A290" s="33"/>
      <c r="B290" s="34"/>
      <c r="C290" s="3"/>
      <c r="D290" s="4"/>
      <c r="E290" s="4"/>
      <c r="F290" s="4"/>
      <c r="H290" s="6"/>
      <c r="I290" s="7"/>
      <c r="J290" s="8"/>
      <c r="K290" s="8"/>
      <c r="L290" s="8"/>
      <c r="M290" s="8"/>
      <c r="N290" s="8"/>
      <c r="O290" s="8"/>
      <c r="P290" s="9"/>
      <c r="Q290" s="9"/>
    </row>
    <row r="291" spans="1:17" ht="16.5" thickBot="1"/>
    <row r="292" spans="1:17" s="20" customFormat="1" ht="16.5" thickBot="1">
      <c r="A292" s="61" t="s">
        <v>39</v>
      </c>
      <c r="B292" s="62"/>
      <c r="C292" s="63"/>
      <c r="D292" s="64"/>
      <c r="E292" s="65"/>
      <c r="F292" s="65"/>
      <c r="G292" s="65"/>
      <c r="H292" s="4"/>
    </row>
    <row r="293" spans="1:17" s="20" customFormat="1">
      <c r="A293" s="37" t="s">
        <v>1</v>
      </c>
      <c r="B293" s="38"/>
      <c r="C293" s="50"/>
      <c r="D293" s="64"/>
      <c r="E293" s="65"/>
      <c r="F293" s="65"/>
      <c r="G293" s="65"/>
      <c r="H293" s="4"/>
    </row>
    <row r="294" spans="1:17" s="20" customFormat="1">
      <c r="A294" s="19" t="s">
        <v>49</v>
      </c>
      <c r="C294" s="21">
        <f>946192.18-146794.2-159303.35+C295</f>
        <v>921726.48</v>
      </c>
      <c r="D294" s="64"/>
      <c r="E294" s="65"/>
      <c r="F294" s="65"/>
      <c r="G294" s="65"/>
      <c r="H294" s="4"/>
    </row>
    <row r="295" spans="1:17" s="20" customFormat="1">
      <c r="A295" s="19" t="s">
        <v>2</v>
      </c>
      <c r="C295" s="21">
        <f>146794.2/1.2+159303.35</f>
        <v>281631.85000000003</v>
      </c>
      <c r="D295" s="64"/>
      <c r="E295" s="65"/>
      <c r="F295" s="65"/>
      <c r="G295" s="65"/>
      <c r="H295" s="4"/>
    </row>
    <row r="296" spans="1:17" s="20" customFormat="1">
      <c r="A296" s="88" t="s">
        <v>3</v>
      </c>
      <c r="B296" s="81"/>
      <c r="C296" s="22">
        <f>1159978.2/1.2+1265388.54</f>
        <v>2232037.04</v>
      </c>
      <c r="D296" s="64"/>
      <c r="E296" s="65"/>
      <c r="F296" s="65"/>
      <c r="G296" s="65"/>
      <c r="H296" s="4"/>
    </row>
    <row r="297" spans="1:17" s="20" customFormat="1">
      <c r="A297" s="24" t="s">
        <v>6</v>
      </c>
      <c r="B297" s="25"/>
      <c r="C297" s="22">
        <f>82681/1.2</f>
        <v>68900.833333333343</v>
      </c>
      <c r="D297" s="64"/>
      <c r="E297" s="65"/>
      <c r="F297" s="65"/>
      <c r="G297" s="65"/>
      <c r="H297" s="18"/>
    </row>
    <row r="298" spans="1:17" s="20" customFormat="1">
      <c r="A298" s="88" t="s">
        <v>57</v>
      </c>
      <c r="B298" s="81"/>
      <c r="C298" s="22">
        <f>291600/1.2</f>
        <v>243000</v>
      </c>
      <c r="D298" s="4"/>
      <c r="E298" s="4"/>
      <c r="F298" s="4"/>
      <c r="G298" s="4"/>
      <c r="H298" s="4"/>
    </row>
    <row r="299" spans="1:17" s="20" customFormat="1">
      <c r="A299" s="24" t="s">
        <v>4</v>
      </c>
      <c r="B299" s="25"/>
      <c r="C299" s="22">
        <f>79570.56/1.2+86800.26</f>
        <v>153109.06</v>
      </c>
      <c r="D299" s="4"/>
      <c r="E299" s="4"/>
      <c r="F299" s="4"/>
      <c r="G299" s="4"/>
      <c r="H299" s="4"/>
    </row>
    <row r="300" spans="1:17" s="20" customFormat="1">
      <c r="A300" s="24" t="s">
        <v>58</v>
      </c>
      <c r="B300" s="25"/>
      <c r="C300" s="22">
        <v>118560</v>
      </c>
      <c r="D300" s="4"/>
      <c r="E300" s="4"/>
      <c r="F300" s="4"/>
      <c r="G300" s="4"/>
      <c r="H300" s="4"/>
    </row>
    <row r="301" spans="1:17" s="20" customFormat="1">
      <c r="A301" s="24" t="s">
        <v>44</v>
      </c>
      <c r="B301" s="25"/>
      <c r="C301" s="22">
        <f>7885.8</f>
        <v>7885.8</v>
      </c>
      <c r="D301" s="4"/>
      <c r="E301" s="4"/>
      <c r="F301" s="4"/>
      <c r="G301" s="4"/>
      <c r="H301" s="4"/>
    </row>
    <row r="302" spans="1:17" s="20" customFormat="1">
      <c r="A302" s="24" t="s">
        <v>5</v>
      </c>
      <c r="B302" s="25"/>
      <c r="C302" s="22">
        <v>35900</v>
      </c>
      <c r="D302" s="64"/>
      <c r="E302" s="65"/>
      <c r="F302" s="65"/>
      <c r="G302" s="65"/>
      <c r="H302" s="4"/>
    </row>
    <row r="303" spans="1:17" s="20" customFormat="1">
      <c r="A303" s="19" t="s">
        <v>7</v>
      </c>
      <c r="B303" s="26"/>
      <c r="C303" s="27">
        <f>SUM(C296:C302)</f>
        <v>2859392.7333333334</v>
      </c>
      <c r="D303" s="64"/>
      <c r="E303" s="65"/>
      <c r="F303" s="65"/>
      <c r="G303" s="65"/>
      <c r="H303" s="4"/>
    </row>
    <row r="304" spans="1:17" s="20" customFormat="1">
      <c r="A304" s="19"/>
      <c r="B304" s="26"/>
      <c r="C304" s="27"/>
      <c r="D304" s="64"/>
      <c r="E304" s="65"/>
      <c r="F304" s="65"/>
      <c r="G304" s="65"/>
      <c r="H304" s="4"/>
    </row>
    <row r="305" spans="1:17" s="20" customFormat="1">
      <c r="A305" s="84" t="s">
        <v>8</v>
      </c>
      <c r="B305" s="85"/>
      <c r="C305" s="66"/>
      <c r="D305" s="64"/>
      <c r="E305" s="65"/>
      <c r="F305" s="65"/>
      <c r="G305" s="65"/>
      <c r="H305" s="4"/>
    </row>
    <row r="306" spans="1:17" ht="15" customHeight="1">
      <c r="A306" s="88" t="s">
        <v>9</v>
      </c>
      <c r="B306" s="81"/>
      <c r="C306" s="22">
        <f>20403.65+369078.6+5195.33+123+12160+415</f>
        <v>407375.58</v>
      </c>
      <c r="D306" s="4"/>
      <c r="E306" s="4"/>
      <c r="F306" s="4"/>
      <c r="H306" s="6"/>
      <c r="I306" s="7"/>
      <c r="J306" s="8"/>
      <c r="K306" s="8"/>
      <c r="L306" s="8"/>
      <c r="M306" s="8"/>
      <c r="N306" s="8"/>
      <c r="O306" s="8"/>
      <c r="P306" s="9"/>
      <c r="Q306" s="9"/>
    </row>
    <row r="307" spans="1:17" ht="15" customHeight="1">
      <c r="A307" s="24" t="s">
        <v>11</v>
      </c>
      <c r="B307" s="25"/>
      <c r="C307" s="22">
        <f>80+1364.41/1.2</f>
        <v>1217.0083333333334</v>
      </c>
      <c r="D307" s="4"/>
      <c r="E307" s="4"/>
      <c r="F307" s="4"/>
      <c r="H307" s="6"/>
      <c r="I307" s="7"/>
      <c r="J307" s="8"/>
      <c r="K307" s="8"/>
      <c r="L307" s="8"/>
      <c r="M307" s="8"/>
      <c r="N307" s="8"/>
      <c r="O307" s="8"/>
      <c r="P307" s="9"/>
      <c r="Q307" s="9"/>
    </row>
    <row r="308" spans="1:17" ht="15" customHeight="1">
      <c r="A308" s="78" t="s">
        <v>68</v>
      </c>
      <c r="B308" s="77"/>
      <c r="C308" s="22">
        <v>125092</v>
      </c>
      <c r="D308" s="4"/>
      <c r="E308" s="4"/>
      <c r="F308" s="4"/>
      <c r="H308" s="6"/>
      <c r="I308" s="7"/>
      <c r="J308" s="8"/>
      <c r="K308" s="8"/>
      <c r="L308" s="8"/>
      <c r="M308" s="8"/>
      <c r="N308" s="8"/>
      <c r="O308" s="8"/>
      <c r="P308" s="9"/>
      <c r="Q308" s="9"/>
    </row>
    <row r="309" spans="1:17" ht="15" customHeight="1">
      <c r="A309" s="78" t="s">
        <v>46</v>
      </c>
      <c r="B309" s="77"/>
      <c r="C309" s="22">
        <v>6890</v>
      </c>
      <c r="D309" s="4"/>
      <c r="E309" s="4"/>
      <c r="F309" s="4"/>
      <c r="H309" s="6"/>
      <c r="I309" s="7"/>
      <c r="J309" s="8"/>
      <c r="K309" s="8"/>
      <c r="L309" s="8"/>
      <c r="M309" s="8"/>
      <c r="N309" s="8"/>
      <c r="O309" s="8"/>
      <c r="P309" s="9"/>
      <c r="Q309" s="9"/>
    </row>
    <row r="310" spans="1:17" ht="15" customHeight="1">
      <c r="A310" s="24" t="s">
        <v>12</v>
      </c>
      <c r="B310" s="25"/>
      <c r="C310" s="22">
        <f>52935.72</f>
        <v>52935.72</v>
      </c>
      <c r="D310" s="4"/>
      <c r="E310" s="4"/>
      <c r="F310" s="4"/>
      <c r="H310" s="6"/>
      <c r="I310" s="7"/>
      <c r="J310" s="8"/>
      <c r="K310" s="8"/>
      <c r="L310" s="8"/>
      <c r="M310" s="8"/>
      <c r="N310" s="8"/>
      <c r="O310" s="8"/>
      <c r="P310" s="9"/>
      <c r="Q310" s="9"/>
    </row>
    <row r="311" spans="1:17" ht="15" customHeight="1">
      <c r="A311" s="88" t="s">
        <v>13</v>
      </c>
      <c r="B311" s="81"/>
      <c r="C311" s="22">
        <f>495034.68</f>
        <v>495034.68</v>
      </c>
      <c r="D311" s="4"/>
      <c r="E311" s="4"/>
      <c r="F311" s="4"/>
      <c r="H311" s="6"/>
      <c r="I311" s="7"/>
      <c r="J311" s="8"/>
      <c r="K311" s="8"/>
      <c r="L311" s="8"/>
      <c r="M311" s="8"/>
      <c r="N311" s="8"/>
      <c r="O311" s="8"/>
      <c r="P311" s="9"/>
      <c r="Q311" s="9"/>
    </row>
    <row r="312" spans="1:17" ht="15" customHeight="1">
      <c r="A312" s="82" t="s">
        <v>14</v>
      </c>
      <c r="B312" s="83"/>
      <c r="C312" s="22">
        <f>612563.82</f>
        <v>612563.81999999995</v>
      </c>
      <c r="D312" s="4"/>
      <c r="E312" s="4"/>
      <c r="F312" s="4"/>
      <c r="H312" s="6"/>
      <c r="I312" s="7"/>
      <c r="J312" s="8"/>
      <c r="K312" s="8"/>
      <c r="L312" s="8"/>
      <c r="M312" s="8"/>
      <c r="N312" s="8"/>
      <c r="O312" s="8"/>
      <c r="P312" s="9"/>
      <c r="Q312" s="9"/>
    </row>
    <row r="313" spans="1:17" ht="15" customHeight="1">
      <c r="A313" s="30" t="s">
        <v>15</v>
      </c>
      <c r="B313" s="31"/>
      <c r="C313" s="22">
        <v>14229.36</v>
      </c>
      <c r="D313" s="4"/>
      <c r="E313" s="4"/>
      <c r="F313" s="4"/>
      <c r="H313" s="6"/>
      <c r="I313" s="7"/>
      <c r="J313" s="8"/>
      <c r="K313" s="8"/>
      <c r="L313" s="8"/>
      <c r="M313" s="8"/>
      <c r="N313" s="8"/>
      <c r="O313" s="8"/>
      <c r="P313" s="9"/>
      <c r="Q313" s="9"/>
    </row>
    <row r="314" spans="1:17" ht="15" customHeight="1">
      <c r="A314" s="88" t="s">
        <v>16</v>
      </c>
      <c r="B314" s="81"/>
      <c r="C314" s="22">
        <f>216416.2+46477.39</f>
        <v>262893.59000000003</v>
      </c>
      <c r="D314" s="4"/>
      <c r="E314" s="4"/>
      <c r="F314" s="4"/>
      <c r="H314" s="6"/>
      <c r="I314" s="7"/>
      <c r="J314" s="8"/>
      <c r="K314" s="8"/>
      <c r="L314" s="8"/>
      <c r="M314" s="8"/>
      <c r="N314" s="8"/>
      <c r="O314" s="8"/>
      <c r="P314" s="9"/>
      <c r="Q314" s="9"/>
    </row>
    <row r="315" spans="1:17" ht="15" customHeight="1">
      <c r="A315" s="24" t="s">
        <v>18</v>
      </c>
      <c r="B315" s="25"/>
      <c r="C315" s="22">
        <f>243855.06</f>
        <v>243855.06</v>
      </c>
      <c r="D315" s="4"/>
      <c r="E315" s="4"/>
      <c r="F315" s="4"/>
      <c r="H315" s="6"/>
      <c r="I315" s="7"/>
      <c r="J315" s="8"/>
      <c r="K315" s="8"/>
      <c r="L315" s="8"/>
      <c r="M315" s="8"/>
      <c r="N315" s="8"/>
      <c r="O315" s="8"/>
      <c r="P315" s="9"/>
      <c r="Q315" s="9"/>
    </row>
    <row r="316" spans="1:17" ht="15" customHeight="1" thickBot="1">
      <c r="A316" s="89" t="s">
        <v>19</v>
      </c>
      <c r="B316" s="90"/>
      <c r="C316" s="32">
        <v>705011.73</v>
      </c>
      <c r="D316" s="4"/>
      <c r="E316" s="4"/>
      <c r="F316" s="4"/>
      <c r="H316" s="6"/>
      <c r="I316" s="7"/>
      <c r="J316" s="8"/>
      <c r="K316" s="8"/>
      <c r="L316" s="8"/>
      <c r="M316" s="8"/>
      <c r="N316" s="8"/>
      <c r="O316" s="8"/>
      <c r="P316" s="9"/>
      <c r="Q316" s="9"/>
    </row>
    <row r="317" spans="1:17" ht="15" customHeight="1" thickBot="1">
      <c r="A317" s="93" t="s">
        <v>7</v>
      </c>
      <c r="B317" s="94"/>
      <c r="C317" s="3">
        <f>SUM(C306:C316)</f>
        <v>2927098.5483333333</v>
      </c>
      <c r="D317" s="4"/>
      <c r="E317" s="4"/>
      <c r="F317" s="4"/>
      <c r="H317" s="6"/>
      <c r="I317" s="7"/>
      <c r="J317" s="8"/>
      <c r="K317" s="8"/>
      <c r="L317" s="8"/>
      <c r="M317" s="8"/>
      <c r="N317" s="8"/>
      <c r="O317" s="8"/>
      <c r="P317" s="9"/>
      <c r="Q317" s="9"/>
    </row>
    <row r="318" spans="1:17" ht="6.75" customHeight="1" thickBot="1">
      <c r="A318" s="33"/>
      <c r="B318" s="34"/>
      <c r="C318" s="3"/>
      <c r="D318" s="4"/>
      <c r="E318" s="4"/>
      <c r="F318" s="4"/>
      <c r="H318" s="6"/>
      <c r="I318" s="7"/>
      <c r="J318" s="8"/>
      <c r="K318" s="8"/>
      <c r="L318" s="8"/>
      <c r="M318" s="8"/>
      <c r="N318" s="8"/>
      <c r="O318" s="8"/>
      <c r="P318" s="9"/>
      <c r="Q318" s="9"/>
    </row>
    <row r="320" spans="1:17" s="20" customFormat="1" ht="15" customHeight="1" thickBot="1">
      <c r="A320" s="25"/>
      <c r="B320" s="25"/>
      <c r="C320" s="23"/>
      <c r="D320" s="4"/>
      <c r="E320" s="4"/>
      <c r="F320" s="4"/>
      <c r="G320" s="4"/>
      <c r="H320" s="71"/>
      <c r="I320" s="72"/>
      <c r="J320" s="73"/>
      <c r="K320" s="73"/>
      <c r="L320" s="73"/>
      <c r="M320" s="73"/>
      <c r="N320" s="73"/>
      <c r="O320" s="73"/>
    </row>
    <row r="321" spans="1:17" s="20" customFormat="1" ht="16.5" thickBot="1">
      <c r="A321" s="11" t="s">
        <v>41</v>
      </c>
      <c r="B321" s="12"/>
      <c r="C321" s="13"/>
      <c r="D321" s="4"/>
      <c r="E321" s="4"/>
      <c r="F321" s="4"/>
      <c r="G321" s="4"/>
      <c r="H321" s="4"/>
    </row>
    <row r="322" spans="1:17" s="20" customFormat="1">
      <c r="A322" s="15" t="s">
        <v>1</v>
      </c>
      <c r="B322" s="16"/>
      <c r="C322" s="29"/>
      <c r="D322" s="4"/>
      <c r="E322" s="4"/>
      <c r="F322" s="4"/>
      <c r="G322" s="4"/>
      <c r="H322" s="4"/>
    </row>
    <row r="323" spans="1:17" s="20" customFormat="1">
      <c r="A323" s="19" t="s">
        <v>49</v>
      </c>
      <c r="C323" s="21">
        <f>680178.67-115967.2-125517.52+C324</f>
        <v>660850.80333333346</v>
      </c>
      <c r="D323" s="4"/>
      <c r="E323" s="4"/>
      <c r="F323" s="4"/>
      <c r="G323" s="4"/>
      <c r="H323" s="4"/>
    </row>
    <row r="324" spans="1:17" s="20" customFormat="1">
      <c r="A324" s="19" t="s">
        <v>2</v>
      </c>
      <c r="C324" s="21">
        <f>115967.2/1.2+125517.52</f>
        <v>222156.85333333333</v>
      </c>
      <c r="D324" s="4"/>
      <c r="E324" s="4"/>
      <c r="F324" s="4"/>
      <c r="G324" s="4"/>
      <c r="H324" s="4"/>
    </row>
    <row r="325" spans="1:17" s="20" customFormat="1">
      <c r="A325" s="88" t="s">
        <v>3</v>
      </c>
      <c r="B325" s="81"/>
      <c r="C325" s="22">
        <f>972926.76/1.2+1061339.52</f>
        <v>1872111.82</v>
      </c>
      <c r="D325" s="4"/>
      <c r="E325" s="4"/>
      <c r="F325" s="4"/>
      <c r="G325" s="4"/>
      <c r="H325" s="18"/>
    </row>
    <row r="326" spans="1:17" s="20" customFormat="1">
      <c r="A326" s="88" t="s">
        <v>4</v>
      </c>
      <c r="B326" s="81"/>
      <c r="C326" s="22">
        <f>73194.42/1.2+79845.9</f>
        <v>140841.25</v>
      </c>
      <c r="D326" s="4"/>
      <c r="E326" s="4"/>
      <c r="F326" s="4"/>
      <c r="G326" s="4"/>
      <c r="H326" s="4"/>
    </row>
    <row r="327" spans="1:17" s="20" customFormat="1">
      <c r="A327" s="24" t="s">
        <v>6</v>
      </c>
      <c r="B327" s="25"/>
      <c r="C327" s="22">
        <f>64872/1.2</f>
        <v>54060</v>
      </c>
      <c r="D327" s="4"/>
      <c r="E327" s="4"/>
      <c r="F327" s="4"/>
      <c r="G327" s="4"/>
      <c r="H327" s="4"/>
    </row>
    <row r="328" spans="1:17" s="20" customFormat="1">
      <c r="A328" s="24" t="s">
        <v>44</v>
      </c>
      <c r="B328" s="25"/>
      <c r="C328" s="22">
        <f>18360</f>
        <v>18360</v>
      </c>
      <c r="D328" s="4"/>
      <c r="E328" s="4"/>
      <c r="F328" s="4"/>
      <c r="G328" s="4"/>
      <c r="H328" s="4"/>
    </row>
    <row r="329" spans="1:17" s="20" customFormat="1">
      <c r="A329" s="24" t="s">
        <v>5</v>
      </c>
      <c r="B329" s="25"/>
      <c r="C329" s="22">
        <v>56650</v>
      </c>
      <c r="D329" s="4"/>
      <c r="E329" s="4"/>
      <c r="F329" s="4"/>
      <c r="G329" s="4"/>
      <c r="H329" s="4"/>
    </row>
    <row r="330" spans="1:17" s="20" customFormat="1">
      <c r="A330" s="19" t="s">
        <v>7</v>
      </c>
      <c r="B330" s="26"/>
      <c r="C330" s="27">
        <f>SUM(C325:C329)</f>
        <v>2142023.0700000003</v>
      </c>
      <c r="D330" s="4"/>
      <c r="E330" s="4"/>
      <c r="F330" s="4"/>
      <c r="G330" s="4"/>
      <c r="H330" s="4"/>
    </row>
    <row r="331" spans="1:17" s="20" customFormat="1">
      <c r="A331" s="19"/>
      <c r="B331" s="26"/>
      <c r="C331" s="27"/>
      <c r="D331" s="4"/>
      <c r="E331" s="4"/>
      <c r="F331" s="4"/>
      <c r="G331" s="4"/>
      <c r="H331" s="4"/>
    </row>
    <row r="332" spans="1:17" s="20" customFormat="1">
      <c r="A332" s="84" t="s">
        <v>8</v>
      </c>
      <c r="B332" s="85"/>
      <c r="C332" s="29"/>
      <c r="D332" s="4"/>
      <c r="E332" s="4"/>
      <c r="F332" s="4"/>
      <c r="G332" s="4"/>
      <c r="H332" s="4"/>
    </row>
    <row r="333" spans="1:17" ht="15" customHeight="1">
      <c r="A333" s="86" t="s">
        <v>9</v>
      </c>
      <c r="B333" s="87"/>
      <c r="C333" s="22">
        <f>254339.9+27694.43+6535+2500.71+415</f>
        <v>291485.04000000004</v>
      </c>
      <c r="D333" s="4"/>
      <c r="E333" s="4"/>
      <c r="F333" s="4"/>
      <c r="H333" s="6"/>
      <c r="I333" s="7"/>
      <c r="J333" s="8"/>
      <c r="K333" s="8"/>
      <c r="L333" s="8"/>
      <c r="M333" s="8"/>
      <c r="N333" s="8"/>
      <c r="O333" s="8"/>
      <c r="P333" s="9"/>
      <c r="Q333" s="9"/>
    </row>
    <row r="334" spans="1:17" ht="15" customHeight="1">
      <c r="A334" s="24" t="s">
        <v>10</v>
      </c>
      <c r="B334" s="25"/>
      <c r="C334" s="22">
        <f>2640.96/1.2</f>
        <v>2200.8000000000002</v>
      </c>
      <c r="D334" s="4"/>
      <c r="E334" s="4"/>
      <c r="F334" s="4"/>
      <c r="H334" s="6"/>
      <c r="I334" s="7"/>
      <c r="J334" s="8"/>
      <c r="K334" s="8"/>
      <c r="L334" s="8"/>
      <c r="M334" s="8"/>
      <c r="N334" s="8"/>
      <c r="O334" s="8"/>
      <c r="P334" s="9"/>
      <c r="Q334" s="9"/>
    </row>
    <row r="335" spans="1:17" ht="15" customHeight="1">
      <c r="A335" s="24" t="s">
        <v>11</v>
      </c>
      <c r="B335" s="25"/>
      <c r="C335" s="22">
        <f>1268.41/1.2+80</f>
        <v>1137.0083333333334</v>
      </c>
      <c r="D335" s="4"/>
      <c r="E335" s="4"/>
      <c r="F335" s="4"/>
      <c r="H335" s="6"/>
      <c r="I335" s="7"/>
      <c r="J335" s="8"/>
      <c r="K335" s="8"/>
      <c r="L335" s="8"/>
      <c r="M335" s="8"/>
      <c r="N335" s="8"/>
      <c r="O335" s="8"/>
      <c r="P335" s="9"/>
      <c r="Q335" s="9"/>
    </row>
    <row r="336" spans="1:17" ht="15" customHeight="1">
      <c r="A336" s="78" t="s">
        <v>60</v>
      </c>
      <c r="B336" s="77"/>
      <c r="C336" s="22">
        <v>17360</v>
      </c>
      <c r="D336" s="4"/>
      <c r="E336" s="4"/>
      <c r="F336" s="4"/>
      <c r="H336" s="6"/>
      <c r="I336" s="7"/>
      <c r="J336" s="8"/>
      <c r="K336" s="8"/>
      <c r="L336" s="8"/>
      <c r="M336" s="8"/>
      <c r="N336" s="8"/>
      <c r="O336" s="8"/>
      <c r="P336" s="9"/>
      <c r="Q336" s="9"/>
    </row>
    <row r="337" spans="1:17" ht="15" customHeight="1">
      <c r="A337" s="24" t="s">
        <v>12</v>
      </c>
      <c r="B337" s="25"/>
      <c r="C337" s="22">
        <f>44397.84</f>
        <v>44397.84</v>
      </c>
      <c r="D337" s="4"/>
      <c r="E337" s="4"/>
      <c r="F337" s="4"/>
      <c r="H337" s="6"/>
      <c r="I337" s="7"/>
      <c r="J337" s="8"/>
      <c r="K337" s="8"/>
      <c r="L337" s="8"/>
      <c r="M337" s="8"/>
      <c r="N337" s="8"/>
      <c r="O337" s="8"/>
      <c r="P337" s="9"/>
      <c r="Q337" s="9"/>
    </row>
    <row r="338" spans="1:17" ht="15" customHeight="1">
      <c r="A338" s="88" t="s">
        <v>13</v>
      </c>
      <c r="B338" s="81"/>
      <c r="C338" s="22">
        <f>417707.04</f>
        <v>417707.04</v>
      </c>
      <c r="D338" s="4"/>
      <c r="E338" s="4"/>
      <c r="F338" s="4"/>
      <c r="H338" s="6"/>
      <c r="I338" s="7"/>
      <c r="J338" s="8"/>
      <c r="K338" s="8"/>
      <c r="L338" s="8"/>
      <c r="M338" s="8"/>
      <c r="N338" s="8"/>
      <c r="O338" s="8"/>
      <c r="P338" s="9"/>
      <c r="Q338" s="9"/>
    </row>
    <row r="339" spans="1:17" ht="15" customHeight="1">
      <c r="A339" s="82" t="s">
        <v>14</v>
      </c>
      <c r="B339" s="83"/>
      <c r="C339" s="22">
        <f>516886.74</f>
        <v>516886.74</v>
      </c>
      <c r="D339" s="4"/>
      <c r="E339" s="4"/>
      <c r="F339" s="4"/>
      <c r="H339" s="6"/>
      <c r="I339" s="7"/>
      <c r="J339" s="8"/>
      <c r="K339" s="8"/>
      <c r="L339" s="8"/>
      <c r="M339" s="8"/>
      <c r="N339" s="8"/>
      <c r="O339" s="8"/>
      <c r="P339" s="9"/>
      <c r="Q339" s="9"/>
    </row>
    <row r="340" spans="1:17" ht="15" customHeight="1">
      <c r="A340" s="30" t="s">
        <v>15</v>
      </c>
      <c r="B340" s="31"/>
      <c r="C340" s="22">
        <f>576+12006.36</f>
        <v>12582.36</v>
      </c>
      <c r="D340" s="4"/>
      <c r="E340" s="4"/>
      <c r="F340" s="4"/>
      <c r="H340" s="6"/>
      <c r="I340" s="7"/>
      <c r="J340" s="8"/>
      <c r="K340" s="8"/>
      <c r="L340" s="8"/>
      <c r="M340" s="8"/>
      <c r="N340" s="8"/>
      <c r="O340" s="8"/>
      <c r="P340" s="9"/>
      <c r="Q340" s="9"/>
    </row>
    <row r="341" spans="1:17" ht="15" customHeight="1">
      <c r="A341" s="88" t="s">
        <v>16</v>
      </c>
      <c r="B341" s="81"/>
      <c r="C341" s="22">
        <f>32028.56+178605.72+10008</f>
        <v>220642.28</v>
      </c>
      <c r="D341" s="4"/>
      <c r="E341" s="4"/>
      <c r="F341" s="4"/>
      <c r="H341" s="6"/>
      <c r="I341" s="7"/>
      <c r="J341" s="8"/>
      <c r="K341" s="8"/>
      <c r="L341" s="8"/>
      <c r="M341" s="8"/>
      <c r="N341" s="8"/>
      <c r="O341" s="8"/>
      <c r="P341" s="9"/>
      <c r="Q341" s="9"/>
    </row>
    <row r="342" spans="1:17" ht="15" customHeight="1">
      <c r="A342" s="24" t="s">
        <v>18</v>
      </c>
      <c r="B342" s="25"/>
      <c r="C342" s="22">
        <f>205767</f>
        <v>205767</v>
      </c>
      <c r="D342" s="4"/>
      <c r="E342" s="4"/>
      <c r="F342" s="4"/>
      <c r="H342" s="6"/>
      <c r="I342" s="7"/>
      <c r="J342" s="8"/>
      <c r="K342" s="8"/>
      <c r="L342" s="8"/>
      <c r="M342" s="8"/>
      <c r="N342" s="8"/>
      <c r="O342" s="8"/>
      <c r="P342" s="9"/>
      <c r="Q342" s="9"/>
    </row>
    <row r="343" spans="1:17" ht="15" customHeight="1" thickBot="1">
      <c r="A343" s="89" t="s">
        <v>19</v>
      </c>
      <c r="B343" s="90"/>
      <c r="C343" s="32">
        <v>485838.55</v>
      </c>
      <c r="D343" s="4"/>
      <c r="E343" s="4"/>
      <c r="F343" s="4"/>
      <c r="H343" s="6"/>
      <c r="I343" s="7"/>
      <c r="J343" s="8"/>
      <c r="K343" s="8"/>
      <c r="L343" s="8"/>
      <c r="M343" s="8"/>
      <c r="N343" s="8"/>
      <c r="O343" s="8"/>
      <c r="P343" s="9"/>
      <c r="Q343" s="9"/>
    </row>
    <row r="344" spans="1:17" ht="16.5" thickBot="1">
      <c r="A344" s="93" t="s">
        <v>7</v>
      </c>
      <c r="B344" s="94"/>
      <c r="C344" s="3">
        <f>SUM(C333:C343)</f>
        <v>2216004.6583333332</v>
      </c>
      <c r="D344" s="14"/>
      <c r="E344" s="14"/>
      <c r="F344" s="14"/>
      <c r="G344" s="14"/>
      <c r="H344" s="10"/>
    </row>
    <row r="345" spans="1:17" ht="8.25" customHeight="1" thickBot="1">
      <c r="A345" s="33"/>
      <c r="B345" s="34"/>
      <c r="C345" s="3"/>
      <c r="D345" s="14"/>
      <c r="E345" s="14"/>
      <c r="F345" s="14"/>
      <c r="G345" s="14"/>
      <c r="H345" s="10"/>
    </row>
    <row r="346" spans="1:17" s="20" customFormat="1" ht="15" customHeight="1" thickBot="1">
      <c r="A346" s="25"/>
      <c r="B346" s="25"/>
      <c r="C346" s="23"/>
      <c r="D346" s="4"/>
      <c r="E346" s="4"/>
      <c r="F346" s="4"/>
      <c r="G346" s="4"/>
      <c r="H346" s="71"/>
      <c r="I346" s="72"/>
      <c r="J346" s="73"/>
      <c r="K346" s="73"/>
      <c r="L346" s="73"/>
      <c r="M346" s="73"/>
      <c r="N346" s="73"/>
      <c r="O346" s="73"/>
    </row>
    <row r="347" spans="1:17" s="20" customFormat="1" ht="16.5" thickBot="1">
      <c r="A347" s="11" t="s">
        <v>42</v>
      </c>
      <c r="B347" s="12"/>
      <c r="C347" s="67"/>
      <c r="D347" s="4"/>
      <c r="E347" s="4"/>
      <c r="F347" s="4"/>
      <c r="G347" s="4"/>
      <c r="H347" s="4"/>
    </row>
    <row r="348" spans="1:17" s="20" customFormat="1">
      <c r="A348" s="15" t="s">
        <v>1</v>
      </c>
      <c r="B348" s="16"/>
      <c r="C348" s="66"/>
      <c r="D348" s="4"/>
      <c r="E348" s="4"/>
      <c r="F348" s="4"/>
      <c r="G348" s="4"/>
      <c r="H348" s="4"/>
    </row>
    <row r="349" spans="1:17" s="20" customFormat="1">
      <c r="A349" s="19" t="s">
        <v>49</v>
      </c>
      <c r="C349" s="21">
        <f>1311628.99-198220.99-215423.3+C350</f>
        <v>1278592.1583333332</v>
      </c>
      <c r="D349" s="4"/>
      <c r="E349" s="4"/>
      <c r="F349" s="4"/>
      <c r="G349" s="4"/>
      <c r="H349" s="4"/>
    </row>
    <row r="350" spans="1:17" s="20" customFormat="1">
      <c r="A350" s="19" t="s">
        <v>2</v>
      </c>
      <c r="C350" s="21">
        <f>198220.99/1.2+215423.3</f>
        <v>380607.45833333331</v>
      </c>
      <c r="D350" s="4"/>
      <c r="E350" s="4"/>
      <c r="F350" s="4"/>
      <c r="G350" s="4"/>
      <c r="H350" s="4"/>
    </row>
    <row r="351" spans="1:17" s="20" customFormat="1">
      <c r="A351" s="88" t="s">
        <v>3</v>
      </c>
      <c r="B351" s="81"/>
      <c r="C351" s="22">
        <f>1496818.68/1.2+1632838.62</f>
        <v>2880187.52</v>
      </c>
      <c r="D351" s="4"/>
      <c r="E351" s="4"/>
      <c r="F351" s="4"/>
      <c r="G351" s="4"/>
      <c r="H351" s="18"/>
    </row>
    <row r="352" spans="1:17" s="20" customFormat="1">
      <c r="A352" s="88" t="s">
        <v>4</v>
      </c>
      <c r="B352" s="81"/>
      <c r="C352" s="22">
        <f>96697.68/1.2+105484.92</f>
        <v>186066.32</v>
      </c>
      <c r="D352" s="4"/>
      <c r="E352" s="4"/>
      <c r="F352" s="4"/>
      <c r="G352" s="4"/>
      <c r="H352" s="4"/>
    </row>
    <row r="353" spans="1:17" s="20" customFormat="1">
      <c r="A353" s="24" t="s">
        <v>6</v>
      </c>
      <c r="B353" s="25"/>
      <c r="C353" s="22">
        <f>94764/1.2</f>
        <v>78970</v>
      </c>
      <c r="D353" s="4"/>
      <c r="E353" s="4"/>
      <c r="F353" s="4"/>
      <c r="G353" s="4"/>
      <c r="H353" s="4"/>
    </row>
    <row r="354" spans="1:17" s="20" customFormat="1" ht="16.5" thickBot="1">
      <c r="A354" s="24" t="s">
        <v>5</v>
      </c>
      <c r="B354" s="25"/>
      <c r="C354" s="22">
        <v>49715</v>
      </c>
      <c r="D354" s="4"/>
      <c r="E354" s="4"/>
      <c r="F354" s="4"/>
      <c r="G354" s="4"/>
      <c r="H354" s="4"/>
    </row>
    <row r="355" spans="1:17" s="20" customFormat="1" ht="16.5" thickBot="1">
      <c r="A355" s="75" t="s">
        <v>7</v>
      </c>
      <c r="B355" s="76"/>
      <c r="C355" s="43">
        <f>SUM(C351:C354)</f>
        <v>3194938.84</v>
      </c>
      <c r="D355" s="4"/>
      <c r="E355" s="4"/>
      <c r="F355" s="4"/>
      <c r="G355" s="4"/>
      <c r="H355" s="4"/>
    </row>
    <row r="356" spans="1:17" s="20" customFormat="1">
      <c r="A356" s="19"/>
      <c r="B356" s="26"/>
      <c r="C356" s="27"/>
      <c r="D356" s="4"/>
      <c r="E356" s="4"/>
      <c r="F356" s="4"/>
      <c r="G356" s="4"/>
      <c r="H356" s="4"/>
    </row>
    <row r="357" spans="1:17" s="20" customFormat="1">
      <c r="A357" s="84" t="s">
        <v>8</v>
      </c>
      <c r="B357" s="85"/>
      <c r="C357" s="29"/>
      <c r="D357" s="4"/>
      <c r="E357" s="4"/>
      <c r="F357" s="4"/>
      <c r="G357" s="4"/>
      <c r="H357" s="4"/>
    </row>
    <row r="358" spans="1:17" ht="15" customHeight="1">
      <c r="A358" s="86" t="s">
        <v>9</v>
      </c>
      <c r="B358" s="87"/>
      <c r="C358" s="22">
        <f>12429.77+410646.59+5685.01+760+415</f>
        <v>429936.37000000005</v>
      </c>
      <c r="D358" s="4"/>
      <c r="E358" s="4"/>
      <c r="F358" s="4"/>
      <c r="H358" s="6"/>
      <c r="I358" s="7"/>
      <c r="J358" s="8"/>
      <c r="K358" s="8"/>
      <c r="L358" s="8"/>
      <c r="M358" s="8"/>
      <c r="N358" s="8"/>
      <c r="O358" s="8"/>
      <c r="P358" s="9"/>
      <c r="Q358" s="9"/>
    </row>
    <row r="359" spans="1:17" ht="15" customHeight="1">
      <c r="A359" s="24" t="s">
        <v>10</v>
      </c>
      <c r="B359" s="25"/>
      <c r="C359" s="22">
        <f>3980/1.2</f>
        <v>3316.666666666667</v>
      </c>
      <c r="D359" s="4"/>
      <c r="E359" s="4"/>
      <c r="F359" s="4"/>
      <c r="H359" s="6"/>
      <c r="I359" s="7"/>
      <c r="J359" s="8"/>
      <c r="K359" s="8"/>
      <c r="L359" s="8"/>
      <c r="M359" s="8"/>
      <c r="N359" s="8"/>
      <c r="O359" s="8"/>
      <c r="P359" s="9"/>
      <c r="Q359" s="9"/>
    </row>
    <row r="360" spans="1:17" ht="15" customHeight="1">
      <c r="A360" s="24" t="s">
        <v>59</v>
      </c>
      <c r="B360" s="25"/>
      <c r="C360" s="22">
        <f>29736</f>
        <v>29736</v>
      </c>
      <c r="D360" s="4"/>
      <c r="E360" s="4"/>
      <c r="F360" s="4"/>
      <c r="H360" s="6"/>
      <c r="I360" s="7"/>
      <c r="J360" s="8"/>
      <c r="K360" s="8"/>
      <c r="L360" s="8"/>
      <c r="M360" s="8"/>
      <c r="N360" s="8"/>
      <c r="O360" s="8"/>
      <c r="P360" s="9"/>
      <c r="Q360" s="9"/>
    </row>
    <row r="361" spans="1:17" ht="15" customHeight="1">
      <c r="A361" s="24" t="s">
        <v>11</v>
      </c>
      <c r="B361" s="25"/>
      <c r="C361" s="22">
        <f>1268.41/1.2+80</f>
        <v>1137.0083333333334</v>
      </c>
      <c r="D361" s="4"/>
      <c r="E361" s="4"/>
      <c r="F361" s="4"/>
      <c r="H361" s="6"/>
      <c r="I361" s="7"/>
      <c r="J361" s="8"/>
      <c r="K361" s="8"/>
      <c r="L361" s="8"/>
      <c r="M361" s="8"/>
      <c r="N361" s="8"/>
      <c r="O361" s="8"/>
      <c r="P361" s="9"/>
      <c r="Q361" s="9"/>
    </row>
    <row r="362" spans="1:17" ht="15" customHeight="1">
      <c r="A362" s="24" t="s">
        <v>12</v>
      </c>
      <c r="B362" s="25"/>
      <c r="C362" s="22">
        <v>68284.56</v>
      </c>
      <c r="D362" s="4"/>
      <c r="E362" s="4"/>
      <c r="F362" s="4"/>
      <c r="H362" s="6"/>
      <c r="I362" s="7"/>
      <c r="J362" s="8"/>
      <c r="K362" s="8"/>
      <c r="L362" s="8"/>
      <c r="M362" s="8"/>
      <c r="N362" s="8"/>
      <c r="O362" s="8"/>
      <c r="P362" s="9"/>
      <c r="Q362" s="9"/>
    </row>
    <row r="363" spans="1:17" ht="15" customHeight="1">
      <c r="A363" s="88" t="s">
        <v>13</v>
      </c>
      <c r="B363" s="81"/>
      <c r="C363" s="22">
        <v>636313.14</v>
      </c>
      <c r="D363" s="4"/>
      <c r="E363" s="4"/>
      <c r="F363" s="4"/>
      <c r="H363" s="6"/>
      <c r="I363" s="7"/>
      <c r="J363" s="8"/>
      <c r="K363" s="8"/>
      <c r="L363" s="8"/>
      <c r="M363" s="8"/>
      <c r="N363" s="8"/>
      <c r="O363" s="8"/>
      <c r="P363" s="9"/>
      <c r="Q363" s="9"/>
    </row>
    <row r="364" spans="1:17" ht="15" customHeight="1">
      <c r="A364" s="82" t="s">
        <v>14</v>
      </c>
      <c r="B364" s="83"/>
      <c r="C364" s="22">
        <f>787287.54</f>
        <v>787287.54</v>
      </c>
      <c r="D364" s="4"/>
      <c r="E364" s="4"/>
      <c r="F364" s="4"/>
      <c r="H364" s="6"/>
      <c r="I364" s="7"/>
      <c r="J364" s="8"/>
      <c r="K364" s="8"/>
      <c r="L364" s="8"/>
      <c r="M364" s="8"/>
      <c r="N364" s="8"/>
      <c r="O364" s="8"/>
      <c r="P364" s="9"/>
      <c r="Q364" s="9"/>
    </row>
    <row r="365" spans="1:17" ht="15" customHeight="1">
      <c r="A365" s="30" t="s">
        <v>15</v>
      </c>
      <c r="B365" s="31"/>
      <c r="C365" s="22">
        <v>18245.64</v>
      </c>
      <c r="D365" s="4"/>
      <c r="E365" s="4"/>
      <c r="F365" s="4"/>
      <c r="H365" s="6"/>
      <c r="I365" s="7"/>
      <c r="J365" s="8"/>
      <c r="K365" s="8"/>
      <c r="L365" s="8"/>
      <c r="M365" s="8"/>
      <c r="N365" s="8"/>
      <c r="O365" s="8"/>
      <c r="P365" s="9"/>
      <c r="Q365" s="9"/>
    </row>
    <row r="366" spans="1:17" ht="15" customHeight="1">
      <c r="A366" s="88" t="s">
        <v>16</v>
      </c>
      <c r="B366" s="81"/>
      <c r="C366" s="22">
        <f>281994.6+2800+51711.97</f>
        <v>336506.56999999995</v>
      </c>
      <c r="D366" s="4"/>
      <c r="E366" s="4"/>
      <c r="F366" s="4"/>
      <c r="H366" s="6"/>
      <c r="I366" s="7"/>
      <c r="J366" s="8"/>
      <c r="K366" s="8"/>
      <c r="L366" s="8"/>
      <c r="M366" s="8"/>
      <c r="N366" s="8"/>
      <c r="O366" s="8"/>
      <c r="P366" s="9"/>
      <c r="Q366" s="9"/>
    </row>
    <row r="367" spans="1:17" ht="15" customHeight="1">
      <c r="A367" s="24" t="s">
        <v>18</v>
      </c>
      <c r="B367" s="25"/>
      <c r="C367" s="22">
        <f>313473</f>
        <v>313473</v>
      </c>
      <c r="D367" s="4"/>
      <c r="E367" s="4"/>
      <c r="F367" s="4"/>
      <c r="H367" s="6"/>
      <c r="I367" s="7"/>
      <c r="J367" s="8"/>
      <c r="K367" s="8"/>
      <c r="L367" s="8"/>
      <c r="M367" s="8"/>
      <c r="N367" s="8"/>
      <c r="O367" s="8"/>
      <c r="P367" s="9"/>
      <c r="Q367" s="9"/>
    </row>
    <row r="368" spans="1:17" ht="15" customHeight="1" thickBot="1">
      <c r="A368" s="88" t="s">
        <v>19</v>
      </c>
      <c r="B368" s="81"/>
      <c r="C368" s="22">
        <v>784414.66</v>
      </c>
      <c r="D368" s="4"/>
      <c r="E368" s="4"/>
      <c r="F368" s="4"/>
      <c r="H368" s="6"/>
      <c r="I368" s="7"/>
      <c r="J368" s="8"/>
      <c r="K368" s="8"/>
      <c r="L368" s="8"/>
      <c r="M368" s="8"/>
      <c r="N368" s="8"/>
      <c r="O368" s="8"/>
      <c r="P368" s="9"/>
      <c r="Q368" s="9"/>
    </row>
    <row r="369" spans="1:17" ht="16.5" thickBot="1">
      <c r="A369" s="97" t="s">
        <v>37</v>
      </c>
      <c r="B369" s="98"/>
      <c r="C369" s="43">
        <f>SUM(C358:C368)</f>
        <v>3408651.1550000003</v>
      </c>
      <c r="D369" s="14"/>
      <c r="E369" s="14"/>
      <c r="F369" s="14"/>
      <c r="G369" s="14"/>
      <c r="H369" s="10"/>
    </row>
    <row r="370" spans="1:17" s="20" customFormat="1" ht="16.5" thickBot="1">
      <c r="A370" s="25"/>
      <c r="B370" s="25"/>
      <c r="C370" s="23"/>
      <c r="D370" s="4"/>
      <c r="E370" s="4"/>
      <c r="F370" s="4"/>
      <c r="G370" s="4"/>
      <c r="H370" s="71"/>
      <c r="I370" s="72"/>
      <c r="J370" s="73"/>
      <c r="K370" s="73"/>
      <c r="L370" s="73"/>
      <c r="M370" s="73"/>
      <c r="N370" s="73"/>
      <c r="O370" s="73"/>
    </row>
    <row r="371" spans="1:17" s="20" customFormat="1" ht="16.5" thickBot="1">
      <c r="A371" s="11" t="s">
        <v>43</v>
      </c>
      <c r="B371" s="12"/>
      <c r="C371" s="13"/>
      <c r="D371" s="4"/>
      <c r="E371" s="4"/>
      <c r="F371" s="4"/>
      <c r="G371" s="4"/>
      <c r="H371" s="4"/>
    </row>
    <row r="372" spans="1:17" s="20" customFormat="1">
      <c r="A372" s="15" t="s">
        <v>1</v>
      </c>
      <c r="B372" s="16"/>
      <c r="C372" s="29"/>
      <c r="D372" s="4"/>
      <c r="E372" s="4"/>
      <c r="F372" s="4"/>
      <c r="G372" s="4"/>
      <c r="H372" s="4"/>
    </row>
    <row r="373" spans="1:17" s="20" customFormat="1">
      <c r="A373" s="19" t="s">
        <v>49</v>
      </c>
      <c r="C373" s="21">
        <f>722235.62-109842.83+124282.05+C374</f>
        <v>952492.58166666678</v>
      </c>
      <c r="D373" s="4"/>
      <c r="E373" s="4"/>
      <c r="F373" s="4"/>
      <c r="G373" s="4"/>
      <c r="H373" s="4"/>
    </row>
    <row r="374" spans="1:17" s="20" customFormat="1">
      <c r="A374" s="19" t="s">
        <v>2</v>
      </c>
      <c r="C374" s="21">
        <f>109842.83/1.2+124282.05</f>
        <v>215817.74166666667</v>
      </c>
      <c r="D374" s="4"/>
      <c r="E374" s="4"/>
      <c r="F374" s="4"/>
      <c r="G374" s="4"/>
      <c r="H374" s="4"/>
    </row>
    <row r="375" spans="1:17" s="20" customFormat="1">
      <c r="A375" s="88" t="s">
        <v>3</v>
      </c>
      <c r="B375" s="81"/>
      <c r="C375" s="22">
        <f>972865.44/1.2+1061272.8</f>
        <v>1871994</v>
      </c>
      <c r="D375" s="4"/>
      <c r="E375" s="4"/>
      <c r="F375" s="4"/>
      <c r="G375" s="4"/>
      <c r="H375" s="18"/>
    </row>
    <row r="376" spans="1:17" s="20" customFormat="1">
      <c r="A376" s="88" t="s">
        <v>4</v>
      </c>
      <c r="B376" s="81"/>
      <c r="C376" s="22">
        <f>310103.64/1.2+338283.84</f>
        <v>596703.54</v>
      </c>
      <c r="D376" s="4"/>
      <c r="E376" s="4"/>
      <c r="F376" s="4"/>
      <c r="G376" s="4"/>
      <c r="H376" s="4"/>
    </row>
    <row r="377" spans="1:17" s="20" customFormat="1">
      <c r="A377" s="24" t="s">
        <v>44</v>
      </c>
      <c r="B377" s="25"/>
      <c r="C377" s="22">
        <v>34560</v>
      </c>
      <c r="D377" s="4"/>
      <c r="E377" s="4"/>
      <c r="F377" s="4"/>
      <c r="G377" s="4"/>
      <c r="H377" s="4"/>
    </row>
    <row r="378" spans="1:17" s="20" customFormat="1">
      <c r="A378" s="24" t="s">
        <v>6</v>
      </c>
      <c r="B378" s="25"/>
      <c r="C378" s="22">
        <f>60420/1.2</f>
        <v>50350</v>
      </c>
      <c r="D378" s="4"/>
      <c r="E378" s="4"/>
      <c r="F378" s="4"/>
      <c r="G378" s="4"/>
      <c r="H378" s="4"/>
    </row>
    <row r="379" spans="1:17" s="20" customFormat="1">
      <c r="A379" s="24" t="s">
        <v>5</v>
      </c>
      <c r="B379" s="25"/>
      <c r="C379" s="22">
        <v>42650</v>
      </c>
      <c r="D379" s="4"/>
      <c r="E379" s="4"/>
      <c r="F379" s="4"/>
      <c r="G379" s="4"/>
      <c r="H379" s="4"/>
    </row>
    <row r="380" spans="1:17" s="20" customFormat="1">
      <c r="A380" s="19" t="s">
        <v>7</v>
      </c>
      <c r="B380" s="26"/>
      <c r="C380" s="27">
        <f>SUM(C375:C379)</f>
        <v>2596257.54</v>
      </c>
      <c r="D380" s="4"/>
      <c r="E380" s="4"/>
      <c r="F380" s="4"/>
      <c r="G380" s="4"/>
      <c r="H380" s="4"/>
    </row>
    <row r="381" spans="1:17" s="20" customFormat="1">
      <c r="A381" s="19"/>
      <c r="B381" s="26"/>
      <c r="C381" s="27"/>
      <c r="D381" s="4"/>
      <c r="E381" s="4"/>
      <c r="F381" s="4"/>
      <c r="G381" s="4"/>
      <c r="H381" s="4"/>
    </row>
    <row r="382" spans="1:17" s="20" customFormat="1">
      <c r="A382" s="84" t="s">
        <v>8</v>
      </c>
      <c r="B382" s="85"/>
      <c r="C382" s="29"/>
      <c r="D382" s="4"/>
      <c r="E382" s="4"/>
      <c r="F382" s="4"/>
      <c r="G382" s="4"/>
      <c r="H382" s="4"/>
    </row>
    <row r="383" spans="1:17" ht="15" customHeight="1">
      <c r="A383" s="86" t="s">
        <v>9</v>
      </c>
      <c r="B383" s="87"/>
      <c r="C383" s="22">
        <f>307703.98+10563.5+5052+170+414.99</f>
        <v>323904.46999999997</v>
      </c>
      <c r="D383" s="4"/>
      <c r="E383" s="4"/>
      <c r="F383" s="4"/>
      <c r="H383" s="6"/>
      <c r="I383" s="7"/>
      <c r="J383" s="8"/>
      <c r="K383" s="8"/>
      <c r="L383" s="8"/>
      <c r="M383" s="8"/>
      <c r="N383" s="8"/>
      <c r="O383" s="8"/>
      <c r="P383" s="9"/>
      <c r="Q383" s="9"/>
    </row>
    <row r="384" spans="1:17" ht="15" customHeight="1">
      <c r="A384" s="24" t="s">
        <v>10</v>
      </c>
      <c r="B384" s="25"/>
      <c r="C384" s="22">
        <f>4658.88/1.2</f>
        <v>3882.4</v>
      </c>
      <c r="D384" s="4"/>
      <c r="E384" s="4"/>
      <c r="F384" s="4"/>
      <c r="H384" s="6"/>
      <c r="I384" s="7"/>
      <c r="J384" s="8"/>
      <c r="K384" s="8"/>
      <c r="L384" s="8"/>
      <c r="M384" s="8"/>
      <c r="N384" s="8"/>
      <c r="O384" s="8"/>
      <c r="P384" s="9"/>
      <c r="Q384" s="9"/>
    </row>
    <row r="385" spans="1:17" ht="15" customHeight="1">
      <c r="A385" s="24" t="s">
        <v>11</v>
      </c>
      <c r="B385" s="25"/>
      <c r="C385" s="22">
        <f>1268.41/1.2+80</f>
        <v>1137.0083333333334</v>
      </c>
      <c r="D385" s="4"/>
      <c r="E385" s="4"/>
      <c r="F385" s="4"/>
      <c r="H385" s="6"/>
      <c r="I385" s="7"/>
      <c r="J385" s="8"/>
      <c r="K385" s="8"/>
      <c r="L385" s="8"/>
      <c r="M385" s="8"/>
      <c r="N385" s="8"/>
      <c r="O385" s="8"/>
      <c r="P385" s="9"/>
      <c r="Q385" s="9"/>
    </row>
    <row r="386" spans="1:17" ht="15" customHeight="1">
      <c r="A386" s="24" t="s">
        <v>12</v>
      </c>
      <c r="B386" s="25"/>
      <c r="C386" s="22">
        <f>44397.12</f>
        <v>44397.120000000003</v>
      </c>
      <c r="D386" s="4"/>
      <c r="E386" s="4"/>
      <c r="F386" s="4"/>
      <c r="H386" s="6"/>
      <c r="I386" s="7"/>
      <c r="J386" s="8"/>
      <c r="K386" s="8"/>
      <c r="L386" s="8"/>
      <c r="M386" s="8"/>
      <c r="N386" s="8"/>
      <c r="O386" s="8"/>
      <c r="P386" s="9"/>
      <c r="Q386" s="9"/>
    </row>
    <row r="387" spans="1:17" ht="15" customHeight="1">
      <c r="A387" s="88" t="s">
        <v>13</v>
      </c>
      <c r="B387" s="81"/>
      <c r="C387" s="22">
        <v>520978.08</v>
      </c>
      <c r="D387" s="4"/>
      <c r="E387" s="4"/>
      <c r="F387" s="4"/>
      <c r="H387" s="6"/>
      <c r="I387" s="7"/>
      <c r="J387" s="8"/>
      <c r="K387" s="8"/>
      <c r="L387" s="8"/>
      <c r="M387" s="8"/>
      <c r="N387" s="8"/>
      <c r="O387" s="8"/>
      <c r="P387" s="9"/>
      <c r="Q387" s="9"/>
    </row>
    <row r="388" spans="1:17" ht="15" customHeight="1">
      <c r="A388" s="82" t="s">
        <v>14</v>
      </c>
      <c r="B388" s="83"/>
      <c r="C388" s="22">
        <f>644678.16</f>
        <v>644678.16</v>
      </c>
      <c r="D388" s="4"/>
      <c r="E388" s="4"/>
      <c r="F388" s="4"/>
      <c r="H388" s="6"/>
      <c r="I388" s="7"/>
      <c r="J388" s="8"/>
      <c r="K388" s="8"/>
      <c r="L388" s="8"/>
      <c r="M388" s="8"/>
      <c r="N388" s="8"/>
      <c r="O388" s="8"/>
      <c r="P388" s="9"/>
      <c r="Q388" s="9"/>
    </row>
    <row r="389" spans="1:17" ht="15" customHeight="1">
      <c r="A389" s="30" t="s">
        <v>15</v>
      </c>
      <c r="B389" s="31"/>
      <c r="C389" s="22">
        <f>13831.32</f>
        <v>13831.32</v>
      </c>
      <c r="D389" s="4"/>
      <c r="E389" s="4"/>
      <c r="F389" s="4"/>
      <c r="H389" s="6"/>
      <c r="I389" s="7"/>
      <c r="J389" s="8"/>
      <c r="K389" s="8"/>
      <c r="L389" s="8"/>
      <c r="M389" s="8"/>
      <c r="N389" s="8"/>
      <c r="O389" s="8"/>
      <c r="P389" s="9"/>
      <c r="Q389" s="9"/>
    </row>
    <row r="390" spans="1:17" ht="15" customHeight="1">
      <c r="A390" s="88" t="s">
        <v>16</v>
      </c>
      <c r="B390" s="81"/>
      <c r="C390" s="22">
        <f>38748.6+223272.54+9995</f>
        <v>272016.14</v>
      </c>
      <c r="D390" s="4"/>
      <c r="E390" s="4"/>
      <c r="F390" s="4"/>
      <c r="H390" s="6"/>
      <c r="I390" s="7"/>
      <c r="J390" s="8"/>
      <c r="K390" s="8"/>
      <c r="L390" s="8"/>
      <c r="M390" s="8"/>
      <c r="N390" s="8"/>
      <c r="O390" s="8"/>
      <c r="P390" s="9"/>
      <c r="Q390" s="9"/>
    </row>
    <row r="391" spans="1:17" ht="15" customHeight="1">
      <c r="A391" s="24" t="s">
        <v>18</v>
      </c>
      <c r="B391" s="25"/>
      <c r="C391" s="22">
        <f>264211.81</f>
        <v>264211.81</v>
      </c>
      <c r="D391" s="4"/>
      <c r="E391" s="4"/>
      <c r="F391" s="4"/>
      <c r="H391" s="6"/>
      <c r="I391" s="7"/>
      <c r="J391" s="8"/>
      <c r="K391" s="8"/>
      <c r="L391" s="8"/>
      <c r="M391" s="8"/>
      <c r="N391" s="8"/>
      <c r="O391" s="8"/>
      <c r="P391" s="9"/>
      <c r="Q391" s="9"/>
    </row>
    <row r="392" spans="1:17" ht="15" customHeight="1">
      <c r="A392" s="24" t="s">
        <v>60</v>
      </c>
      <c r="B392" s="25"/>
      <c r="C392" s="22">
        <f>32467.74</f>
        <v>32467.74</v>
      </c>
      <c r="D392" s="4"/>
      <c r="E392" s="4"/>
      <c r="F392" s="4"/>
      <c r="H392" s="6"/>
      <c r="I392" s="7"/>
      <c r="J392" s="8"/>
      <c r="K392" s="8"/>
      <c r="L392" s="8"/>
      <c r="M392" s="8"/>
      <c r="N392" s="8"/>
      <c r="O392" s="8"/>
      <c r="P392" s="9"/>
      <c r="Q392" s="9"/>
    </row>
    <row r="393" spans="1:17" ht="15" customHeight="1" thickBot="1">
      <c r="A393" s="89" t="s">
        <v>19</v>
      </c>
      <c r="B393" s="90"/>
      <c r="C393" s="32">
        <f>590+587774.31</f>
        <v>588364.31000000006</v>
      </c>
      <c r="D393" s="4"/>
      <c r="E393" s="4"/>
      <c r="F393" s="4"/>
      <c r="H393" s="6"/>
      <c r="I393" s="7"/>
      <c r="J393" s="8"/>
      <c r="K393" s="8"/>
      <c r="L393" s="8"/>
      <c r="M393" s="8"/>
      <c r="N393" s="8"/>
      <c r="O393" s="8"/>
      <c r="P393" s="9"/>
      <c r="Q393" s="9"/>
    </row>
    <row r="394" spans="1:17" ht="15" customHeight="1" thickBot="1">
      <c r="A394" s="93" t="s">
        <v>7</v>
      </c>
      <c r="B394" s="94"/>
      <c r="C394" s="3">
        <f>SUM(C383:C393)</f>
        <v>2709868.5583333336</v>
      </c>
      <c r="D394" s="4"/>
      <c r="E394" s="4"/>
      <c r="F394" s="4"/>
      <c r="H394" s="6"/>
      <c r="I394" s="7"/>
      <c r="J394" s="8"/>
      <c r="K394" s="8"/>
      <c r="L394" s="8"/>
      <c r="M394" s="8"/>
      <c r="N394" s="8"/>
      <c r="O394" s="8"/>
      <c r="P394" s="9"/>
      <c r="Q394" s="9"/>
    </row>
    <row r="395" spans="1:17" ht="6.75" customHeight="1" thickBot="1">
      <c r="A395" s="33"/>
      <c r="B395" s="34"/>
      <c r="C395" s="3"/>
      <c r="D395" s="4"/>
      <c r="E395" s="4"/>
      <c r="F395" s="4"/>
      <c r="H395" s="6"/>
      <c r="I395" s="7"/>
      <c r="J395" s="8"/>
      <c r="K395" s="8"/>
      <c r="L395" s="8"/>
      <c r="M395" s="8"/>
      <c r="N395" s="8"/>
      <c r="O395" s="8"/>
      <c r="P395" s="9"/>
      <c r="Q395" s="9"/>
    </row>
    <row r="396" spans="1:17" ht="16.5" thickBot="1"/>
    <row r="397" spans="1:17" s="20" customFormat="1" ht="16.5" thickBot="1">
      <c r="A397" s="11" t="s">
        <v>45</v>
      </c>
      <c r="B397" s="12"/>
      <c r="C397" s="13"/>
      <c r="D397" s="4"/>
      <c r="E397" s="4"/>
      <c r="F397" s="4"/>
      <c r="G397" s="4"/>
      <c r="H397" s="4"/>
    </row>
    <row r="398" spans="1:17" s="20" customFormat="1">
      <c r="A398" s="15" t="s">
        <v>1</v>
      </c>
      <c r="B398" s="16"/>
      <c r="C398" s="29"/>
      <c r="D398" s="4"/>
      <c r="E398" s="4"/>
      <c r="F398" s="4"/>
      <c r="G398" s="4"/>
      <c r="H398" s="4"/>
    </row>
    <row r="399" spans="1:17" s="20" customFormat="1">
      <c r="A399" s="19" t="s">
        <v>49</v>
      </c>
      <c r="C399" s="21">
        <f>1151762.88-183572.08-199538.8+C400</f>
        <v>1121167.5333333332</v>
      </c>
      <c r="D399" s="4"/>
      <c r="E399" s="4"/>
      <c r="F399" s="4"/>
      <c r="G399" s="4"/>
      <c r="H399" s="4"/>
    </row>
    <row r="400" spans="1:17" s="20" customFormat="1">
      <c r="A400" s="19" t="s">
        <v>2</v>
      </c>
      <c r="C400" s="21">
        <f>183572.08/1.2+199538.8</f>
        <v>352515.53333333333</v>
      </c>
      <c r="D400" s="4"/>
      <c r="E400" s="4"/>
      <c r="F400" s="4"/>
      <c r="G400" s="4"/>
      <c r="H400" s="4"/>
    </row>
    <row r="401" spans="1:17" s="20" customFormat="1">
      <c r="A401" s="88" t="s">
        <v>3</v>
      </c>
      <c r="B401" s="81"/>
      <c r="C401" s="22">
        <f>1336291.86/1.2+1457724.54</f>
        <v>2571301.09</v>
      </c>
      <c r="D401" s="4"/>
      <c r="E401" s="4"/>
      <c r="F401" s="4"/>
      <c r="G401" s="4"/>
      <c r="H401" s="18"/>
    </row>
    <row r="402" spans="1:17" s="20" customFormat="1">
      <c r="A402" s="24" t="s">
        <v>61</v>
      </c>
      <c r="B402" s="25"/>
      <c r="C402" s="22">
        <f>50760/1.2</f>
        <v>42300</v>
      </c>
      <c r="D402" s="4"/>
      <c r="E402" s="4"/>
      <c r="F402" s="4"/>
      <c r="G402" s="4"/>
      <c r="H402" s="18"/>
    </row>
    <row r="403" spans="1:17" s="20" customFormat="1">
      <c r="A403" s="88" t="s">
        <v>4</v>
      </c>
      <c r="B403" s="81"/>
      <c r="C403" s="22">
        <f>208128.96/1.2+227042.28</f>
        <v>400483.07999999996</v>
      </c>
      <c r="D403" s="4"/>
      <c r="E403" s="4"/>
      <c r="F403" s="4"/>
      <c r="G403" s="4"/>
      <c r="H403" s="4"/>
    </row>
    <row r="404" spans="1:17" s="20" customFormat="1">
      <c r="A404" s="24" t="s">
        <v>6</v>
      </c>
      <c r="B404" s="25"/>
      <c r="C404" s="22">
        <f>89040/1.2</f>
        <v>74200</v>
      </c>
      <c r="D404" s="4"/>
      <c r="E404" s="4"/>
      <c r="F404" s="4"/>
      <c r="G404" s="4"/>
      <c r="H404" s="4"/>
    </row>
    <row r="405" spans="1:17" s="20" customFormat="1">
      <c r="A405" s="24" t="s">
        <v>5</v>
      </c>
      <c r="B405" s="25"/>
      <c r="C405" s="22">
        <v>33950</v>
      </c>
      <c r="D405" s="4"/>
      <c r="E405" s="4"/>
      <c r="F405" s="4"/>
      <c r="G405" s="4"/>
      <c r="H405" s="4"/>
    </row>
    <row r="406" spans="1:17" s="20" customFormat="1">
      <c r="A406" s="19" t="s">
        <v>7</v>
      </c>
      <c r="B406" s="26"/>
      <c r="C406" s="27">
        <f>SUM(C401:C405)</f>
        <v>3122234.17</v>
      </c>
      <c r="D406" s="4"/>
      <c r="E406" s="4"/>
      <c r="F406" s="4"/>
      <c r="G406" s="4"/>
      <c r="H406" s="4"/>
    </row>
    <row r="407" spans="1:17" s="20" customFormat="1">
      <c r="A407" s="19"/>
      <c r="B407" s="26"/>
      <c r="C407" s="27"/>
      <c r="D407" s="4"/>
      <c r="E407" s="4"/>
      <c r="F407" s="4"/>
      <c r="G407" s="4"/>
      <c r="H407" s="4"/>
    </row>
    <row r="408" spans="1:17" s="20" customFormat="1">
      <c r="A408" s="84" t="s">
        <v>8</v>
      </c>
      <c r="B408" s="85"/>
      <c r="C408" s="29"/>
      <c r="D408" s="4"/>
      <c r="E408" s="4"/>
      <c r="F408" s="4"/>
      <c r="G408" s="4"/>
      <c r="H408" s="4"/>
    </row>
    <row r="409" spans="1:17" ht="15" customHeight="1">
      <c r="A409" s="86" t="s">
        <v>62</v>
      </c>
      <c r="B409" s="87"/>
      <c r="C409" s="22">
        <f>11525.9+4635+170+415.01+386355.88</f>
        <v>403101.79</v>
      </c>
      <c r="D409" s="4"/>
      <c r="E409" s="4"/>
      <c r="F409" s="4"/>
      <c r="H409" s="6"/>
      <c r="I409" s="7"/>
      <c r="J409" s="8"/>
      <c r="K409" s="8"/>
      <c r="L409" s="8"/>
      <c r="M409" s="8"/>
      <c r="N409" s="8"/>
      <c r="O409" s="8"/>
      <c r="P409" s="9"/>
      <c r="Q409" s="9"/>
    </row>
    <row r="410" spans="1:17" ht="15" customHeight="1">
      <c r="A410" s="24" t="s">
        <v>10</v>
      </c>
      <c r="B410" s="25"/>
      <c r="C410" s="22">
        <f>2394.24/1.2</f>
        <v>1995.1999999999998</v>
      </c>
      <c r="D410" s="4"/>
      <c r="E410" s="4"/>
      <c r="F410" s="4"/>
      <c r="H410" s="6"/>
      <c r="I410" s="7"/>
      <c r="J410" s="8"/>
      <c r="K410" s="8"/>
      <c r="L410" s="8"/>
      <c r="M410" s="8"/>
      <c r="N410" s="8"/>
      <c r="O410" s="8"/>
      <c r="P410" s="9"/>
      <c r="Q410" s="9"/>
    </row>
    <row r="411" spans="1:17" ht="15" customHeight="1">
      <c r="A411" s="24" t="s">
        <v>11</v>
      </c>
      <c r="B411" s="25"/>
      <c r="C411" s="22">
        <f>1268.41/1.2+80</f>
        <v>1137.0083333333334</v>
      </c>
      <c r="D411" s="4"/>
      <c r="E411" s="4"/>
      <c r="F411" s="4"/>
      <c r="H411" s="6"/>
      <c r="I411" s="7"/>
      <c r="J411" s="8"/>
      <c r="K411" s="8"/>
      <c r="L411" s="8"/>
      <c r="M411" s="8"/>
      <c r="N411" s="8"/>
      <c r="O411" s="8"/>
      <c r="P411" s="9"/>
      <c r="Q411" s="9"/>
    </row>
    <row r="412" spans="1:17" ht="15" customHeight="1">
      <c r="A412" s="24" t="s">
        <v>46</v>
      </c>
      <c r="B412" s="25"/>
      <c r="C412" s="22">
        <v>41258</v>
      </c>
      <c r="D412" s="4"/>
      <c r="E412" s="4"/>
      <c r="F412" s="4"/>
      <c r="H412" s="6"/>
      <c r="I412" s="7"/>
      <c r="J412" s="8"/>
      <c r="K412" s="8"/>
      <c r="L412" s="8"/>
      <c r="M412" s="8"/>
      <c r="N412" s="8"/>
      <c r="O412" s="8"/>
      <c r="P412" s="9"/>
      <c r="Q412" s="9"/>
    </row>
    <row r="413" spans="1:17" ht="15" customHeight="1">
      <c r="A413" s="24" t="s">
        <v>12</v>
      </c>
      <c r="B413" s="25"/>
      <c r="C413" s="22">
        <f>60950.76</f>
        <v>60950.76</v>
      </c>
      <c r="D413" s="4"/>
      <c r="E413" s="4"/>
      <c r="F413" s="4"/>
      <c r="H413" s="6"/>
      <c r="I413" s="7"/>
      <c r="J413" s="8"/>
      <c r="K413" s="8"/>
      <c r="L413" s="8"/>
      <c r="M413" s="8"/>
      <c r="N413" s="8"/>
      <c r="O413" s="8"/>
      <c r="P413" s="9"/>
      <c r="Q413" s="9"/>
    </row>
    <row r="414" spans="1:17" ht="15" customHeight="1">
      <c r="A414" s="88" t="s">
        <v>13</v>
      </c>
      <c r="B414" s="81"/>
      <c r="C414" s="22">
        <v>616550.40000000002</v>
      </c>
      <c r="D414" s="4"/>
      <c r="E414" s="4"/>
      <c r="F414" s="4"/>
      <c r="H414" s="6"/>
      <c r="I414" s="7"/>
      <c r="J414" s="8"/>
      <c r="K414" s="8"/>
      <c r="L414" s="8"/>
      <c r="M414" s="8"/>
      <c r="N414" s="8"/>
      <c r="O414" s="8"/>
      <c r="P414" s="9"/>
      <c r="Q414" s="9"/>
    </row>
    <row r="415" spans="1:17" ht="15" customHeight="1">
      <c r="A415" s="82" t="s">
        <v>14</v>
      </c>
      <c r="B415" s="83"/>
      <c r="C415" s="22">
        <v>762944.58</v>
      </c>
      <c r="D415" s="4"/>
      <c r="E415" s="4"/>
      <c r="F415" s="4"/>
      <c r="H415" s="6"/>
      <c r="I415" s="7"/>
      <c r="J415" s="8"/>
      <c r="K415" s="8"/>
      <c r="L415" s="8"/>
      <c r="M415" s="8"/>
      <c r="N415" s="8"/>
      <c r="O415" s="8"/>
      <c r="P415" s="9"/>
      <c r="Q415" s="9"/>
    </row>
    <row r="416" spans="1:17" ht="15" customHeight="1">
      <c r="A416" s="30" t="s">
        <v>15</v>
      </c>
      <c r="B416" s="31"/>
      <c r="C416" s="22">
        <v>17718.240000000002</v>
      </c>
      <c r="D416" s="4"/>
      <c r="E416" s="4"/>
      <c r="F416" s="4"/>
      <c r="H416" s="6"/>
      <c r="I416" s="7"/>
      <c r="J416" s="8"/>
      <c r="K416" s="8"/>
      <c r="L416" s="8"/>
      <c r="M416" s="8"/>
      <c r="N416" s="8"/>
      <c r="O416" s="8"/>
      <c r="P416" s="9"/>
      <c r="Q416" s="9"/>
    </row>
    <row r="417" spans="1:17" ht="15" customHeight="1">
      <c r="A417" s="88" t="s">
        <v>16</v>
      </c>
      <c r="B417" s="81"/>
      <c r="C417" s="22">
        <f>263556+48653.08</f>
        <v>312209.08</v>
      </c>
      <c r="D417" s="4"/>
      <c r="E417" s="4"/>
      <c r="F417" s="4"/>
      <c r="H417" s="6"/>
      <c r="I417" s="7"/>
      <c r="J417" s="8"/>
      <c r="K417" s="8"/>
      <c r="L417" s="8"/>
      <c r="M417" s="8"/>
      <c r="N417" s="8"/>
      <c r="O417" s="8"/>
      <c r="P417" s="9"/>
      <c r="Q417" s="9"/>
    </row>
    <row r="418" spans="1:17" ht="15" customHeight="1">
      <c r="A418" s="24" t="s">
        <v>18</v>
      </c>
      <c r="B418" s="25"/>
      <c r="C418" s="22">
        <f>303710.04</f>
        <v>303710.03999999998</v>
      </c>
      <c r="D418" s="4"/>
      <c r="E418" s="4"/>
      <c r="F418" s="4"/>
      <c r="H418" s="6"/>
      <c r="I418" s="7"/>
      <c r="J418" s="8"/>
      <c r="K418" s="8"/>
      <c r="L418" s="8"/>
      <c r="M418" s="8"/>
      <c r="N418" s="8"/>
      <c r="O418" s="8"/>
      <c r="P418" s="9"/>
      <c r="Q418" s="9"/>
    </row>
    <row r="419" spans="1:17" ht="15" customHeight="1" thickBot="1">
      <c r="A419" s="89" t="s">
        <v>19</v>
      </c>
      <c r="B419" s="90"/>
      <c r="C419" s="32">
        <f>738014.69</f>
        <v>738014.69</v>
      </c>
      <c r="D419" s="4"/>
      <c r="E419" s="4"/>
      <c r="F419" s="4"/>
      <c r="H419" s="6"/>
      <c r="I419" s="7"/>
      <c r="J419" s="8"/>
      <c r="K419" s="8"/>
      <c r="L419" s="8"/>
      <c r="M419" s="8"/>
      <c r="N419" s="8"/>
      <c r="O419" s="8"/>
      <c r="P419" s="9"/>
      <c r="Q419" s="9"/>
    </row>
    <row r="420" spans="1:17" ht="16.5" thickBot="1">
      <c r="A420" s="91" t="s">
        <v>7</v>
      </c>
      <c r="B420" s="92"/>
      <c r="C420" s="3">
        <f>SUM(C409:C419)</f>
        <v>3259589.7883333331</v>
      </c>
      <c r="D420" s="14"/>
      <c r="E420" s="14"/>
      <c r="F420" s="14"/>
      <c r="G420" s="14"/>
      <c r="H420" s="10"/>
    </row>
    <row r="421" spans="1:17" ht="6" customHeight="1" thickBot="1">
      <c r="A421" s="48"/>
      <c r="B421" s="49"/>
      <c r="C421" s="3"/>
      <c r="D421" s="14"/>
      <c r="E421" s="14"/>
      <c r="F421" s="14"/>
      <c r="G421" s="14"/>
      <c r="H421" s="10"/>
    </row>
    <row r="422" spans="1:17" s="20" customFormat="1" ht="15" customHeight="1" thickBot="1">
      <c r="A422" s="25"/>
      <c r="B422" s="25"/>
      <c r="C422" s="23"/>
      <c r="D422" s="4"/>
      <c r="E422" s="4"/>
      <c r="F422" s="4"/>
      <c r="G422" s="4"/>
      <c r="H422" s="71"/>
      <c r="I422" s="72"/>
      <c r="J422" s="73"/>
      <c r="K422" s="73"/>
      <c r="L422" s="73"/>
      <c r="M422" s="73"/>
      <c r="N422" s="73"/>
      <c r="O422" s="73"/>
    </row>
    <row r="423" spans="1:17" s="20" customFormat="1" ht="16.5" thickBot="1">
      <c r="A423" s="11" t="s">
        <v>47</v>
      </c>
      <c r="B423" s="12"/>
      <c r="C423" s="13"/>
      <c r="D423" s="4"/>
      <c r="E423" s="4"/>
      <c r="F423" s="4"/>
      <c r="G423" s="4"/>
      <c r="H423" s="4"/>
    </row>
    <row r="424" spans="1:17" s="20" customFormat="1">
      <c r="A424" s="15" t="s">
        <v>1</v>
      </c>
      <c r="B424" s="16"/>
      <c r="C424" s="29"/>
      <c r="D424" s="4"/>
      <c r="E424" s="4"/>
      <c r="F424" s="4"/>
      <c r="G424" s="4"/>
      <c r="H424" s="4"/>
    </row>
    <row r="425" spans="1:17" s="20" customFormat="1">
      <c r="A425" s="19" t="s">
        <v>49</v>
      </c>
      <c r="C425" s="21">
        <f>767202.7-129958.29-141162.2+C426</f>
        <v>745542.98499999987</v>
      </c>
      <c r="D425" s="4"/>
      <c r="E425" s="4"/>
      <c r="F425" s="4"/>
      <c r="G425" s="4"/>
      <c r="H425" s="4"/>
    </row>
    <row r="426" spans="1:17" s="20" customFormat="1">
      <c r="A426" s="19" t="s">
        <v>2</v>
      </c>
      <c r="C426" s="21">
        <f>129958.29/1.2+141162.2</f>
        <v>249460.77500000002</v>
      </c>
      <c r="D426" s="4"/>
      <c r="E426" s="4"/>
      <c r="F426" s="4"/>
      <c r="G426" s="4"/>
      <c r="H426" s="4"/>
    </row>
    <row r="427" spans="1:17" s="20" customFormat="1">
      <c r="A427" s="88" t="s">
        <v>3</v>
      </c>
      <c r="B427" s="81"/>
      <c r="C427" s="22">
        <f>872736.48/1.2+952044.54</f>
        <v>1679324.94</v>
      </c>
      <c r="D427" s="4"/>
      <c r="E427" s="4"/>
      <c r="F427" s="4"/>
      <c r="G427" s="4"/>
      <c r="H427" s="18"/>
    </row>
    <row r="428" spans="1:17" s="20" customFormat="1">
      <c r="A428" s="88" t="s">
        <v>4</v>
      </c>
      <c r="B428" s="81"/>
      <c r="C428" s="22">
        <f>59864.16/1.2+65304.18</f>
        <v>115190.98000000001</v>
      </c>
      <c r="D428" s="4"/>
      <c r="E428" s="4"/>
      <c r="F428" s="4"/>
      <c r="G428" s="4"/>
      <c r="H428" s="4"/>
    </row>
    <row r="429" spans="1:17" s="20" customFormat="1">
      <c r="A429" s="24" t="s">
        <v>5</v>
      </c>
      <c r="B429" s="25"/>
      <c r="C429" s="22">
        <v>32150</v>
      </c>
      <c r="D429" s="4"/>
      <c r="E429" s="4"/>
      <c r="F429" s="4"/>
      <c r="G429" s="4"/>
      <c r="H429" s="4"/>
    </row>
    <row r="430" spans="1:17" s="20" customFormat="1">
      <c r="A430" s="24" t="s">
        <v>6</v>
      </c>
      <c r="B430" s="25"/>
      <c r="C430" s="22">
        <f>66780/1.2</f>
        <v>55650</v>
      </c>
      <c r="D430" s="4"/>
      <c r="E430" s="4"/>
      <c r="F430" s="4"/>
      <c r="G430" s="4"/>
      <c r="H430" s="4"/>
    </row>
    <row r="431" spans="1:17" s="20" customFormat="1">
      <c r="A431" s="19" t="s">
        <v>7</v>
      </c>
      <c r="B431" s="26"/>
      <c r="C431" s="27">
        <f>SUM(C427:C430)</f>
        <v>1882315.92</v>
      </c>
      <c r="D431" s="4"/>
      <c r="E431" s="4"/>
      <c r="F431" s="4"/>
      <c r="G431" s="4"/>
      <c r="H431" s="4"/>
    </row>
    <row r="432" spans="1:17" s="20" customFormat="1">
      <c r="A432" s="19"/>
      <c r="B432" s="26"/>
      <c r="C432" s="27"/>
      <c r="D432" s="4"/>
      <c r="E432" s="4"/>
      <c r="F432" s="4"/>
      <c r="G432" s="4"/>
      <c r="H432" s="4"/>
    </row>
    <row r="433" spans="1:17" s="20" customFormat="1">
      <c r="A433" s="84" t="s">
        <v>8</v>
      </c>
      <c r="B433" s="85"/>
      <c r="C433" s="29"/>
      <c r="D433" s="4"/>
      <c r="E433" s="4"/>
      <c r="F433" s="4"/>
      <c r="G433" s="4"/>
      <c r="H433" s="4"/>
    </row>
    <row r="434" spans="1:17" ht="15" customHeight="1">
      <c r="A434" s="86" t="s">
        <v>9</v>
      </c>
      <c r="B434" s="87"/>
      <c r="C434" s="22">
        <f>11131.99+3433.33+414.99+226790.33</f>
        <v>241770.63999999998</v>
      </c>
      <c r="D434" s="4"/>
      <c r="E434" s="4"/>
      <c r="F434" s="4"/>
      <c r="H434" s="6"/>
      <c r="I434" s="7"/>
      <c r="J434" s="8"/>
      <c r="K434" s="8"/>
      <c r="L434" s="8"/>
      <c r="M434" s="8"/>
      <c r="N434" s="8"/>
      <c r="O434" s="8"/>
      <c r="P434" s="9"/>
      <c r="Q434" s="9"/>
    </row>
    <row r="435" spans="1:17" ht="15" customHeight="1">
      <c r="A435" s="24" t="s">
        <v>11</v>
      </c>
      <c r="B435" s="25"/>
      <c r="C435" s="22">
        <f>1268.41/1.2+80</f>
        <v>1137.0083333333334</v>
      </c>
      <c r="D435" s="4"/>
      <c r="E435" s="4"/>
      <c r="F435" s="4"/>
      <c r="H435" s="6"/>
      <c r="I435" s="7"/>
      <c r="J435" s="8"/>
      <c r="K435" s="8"/>
      <c r="L435" s="8"/>
      <c r="M435" s="8"/>
      <c r="N435" s="8"/>
      <c r="O435" s="8"/>
      <c r="P435" s="9"/>
      <c r="Q435" s="9"/>
    </row>
    <row r="436" spans="1:17" ht="15" customHeight="1">
      <c r="A436" s="24" t="s">
        <v>12</v>
      </c>
      <c r="B436" s="25"/>
      <c r="C436" s="22">
        <f>39825.84</f>
        <v>39825.839999999997</v>
      </c>
      <c r="D436" s="4"/>
      <c r="E436" s="4"/>
      <c r="F436" s="4"/>
      <c r="H436" s="6"/>
      <c r="I436" s="7"/>
      <c r="J436" s="8"/>
      <c r="K436" s="8"/>
      <c r="L436" s="8"/>
      <c r="M436" s="8"/>
      <c r="N436" s="8"/>
      <c r="O436" s="8"/>
      <c r="P436" s="9"/>
      <c r="Q436" s="9"/>
    </row>
    <row r="437" spans="1:17" ht="15" customHeight="1">
      <c r="A437" s="88" t="s">
        <v>13</v>
      </c>
      <c r="B437" s="81"/>
      <c r="C437" s="22">
        <f>372382.02</f>
        <v>372382.02</v>
      </c>
      <c r="D437" s="4"/>
      <c r="E437" s="4"/>
      <c r="F437" s="4"/>
      <c r="H437" s="6"/>
      <c r="I437" s="7"/>
      <c r="J437" s="8"/>
      <c r="K437" s="8"/>
      <c r="L437" s="8"/>
      <c r="M437" s="8"/>
      <c r="N437" s="8"/>
      <c r="O437" s="8"/>
      <c r="P437" s="9"/>
      <c r="Q437" s="9"/>
    </row>
    <row r="438" spans="1:17" ht="15" customHeight="1">
      <c r="A438" s="30" t="s">
        <v>48</v>
      </c>
      <c r="B438" s="31"/>
      <c r="C438" s="22">
        <v>460796.28</v>
      </c>
      <c r="D438" s="4"/>
      <c r="E438" s="4"/>
      <c r="F438" s="4"/>
      <c r="H438" s="6"/>
      <c r="I438" s="7"/>
      <c r="J438" s="8"/>
      <c r="K438" s="8"/>
      <c r="L438" s="8"/>
      <c r="M438" s="8"/>
      <c r="N438" s="8"/>
      <c r="O438" s="8"/>
      <c r="P438" s="9"/>
      <c r="Q438" s="9"/>
    </row>
    <row r="439" spans="1:17" ht="15" customHeight="1">
      <c r="A439" s="30" t="s">
        <v>15</v>
      </c>
      <c r="B439" s="31"/>
      <c r="C439" s="22">
        <v>10703.52</v>
      </c>
      <c r="D439" s="4"/>
      <c r="E439" s="4"/>
      <c r="F439" s="4"/>
      <c r="H439" s="6"/>
      <c r="I439" s="7"/>
      <c r="J439" s="8"/>
      <c r="K439" s="8"/>
      <c r="L439" s="8"/>
      <c r="M439" s="8"/>
      <c r="N439" s="8"/>
      <c r="O439" s="8"/>
      <c r="P439" s="9"/>
      <c r="Q439" s="9"/>
    </row>
    <row r="440" spans="1:17" ht="15" customHeight="1">
      <c r="A440" s="88" t="s">
        <v>16</v>
      </c>
      <c r="B440" s="81"/>
      <c r="C440" s="22">
        <f>159224.16+28559.29</f>
        <v>187783.45</v>
      </c>
      <c r="D440" s="4"/>
      <c r="E440" s="4"/>
      <c r="F440" s="4"/>
      <c r="H440" s="6"/>
      <c r="I440" s="7"/>
      <c r="J440" s="8"/>
      <c r="K440" s="8"/>
      <c r="L440" s="8"/>
      <c r="M440" s="8"/>
      <c r="N440" s="8"/>
      <c r="O440" s="8"/>
      <c r="P440" s="9"/>
      <c r="Q440" s="9"/>
    </row>
    <row r="441" spans="1:17" ht="15" customHeight="1">
      <c r="A441" s="24" t="s">
        <v>18</v>
      </c>
      <c r="B441" s="25"/>
      <c r="C441" s="22">
        <f>183438</f>
        <v>183438</v>
      </c>
      <c r="D441" s="4"/>
      <c r="E441" s="4"/>
      <c r="F441" s="4"/>
      <c r="H441" s="6"/>
      <c r="I441" s="7"/>
      <c r="J441" s="8"/>
      <c r="K441" s="8"/>
      <c r="L441" s="8"/>
      <c r="M441" s="8"/>
      <c r="N441" s="8"/>
      <c r="O441" s="8"/>
      <c r="P441" s="9"/>
      <c r="Q441" s="9"/>
    </row>
    <row r="442" spans="1:17" ht="15" customHeight="1" thickBot="1">
      <c r="A442" s="89" t="s">
        <v>19</v>
      </c>
      <c r="B442" s="90"/>
      <c r="C442" s="32">
        <v>433213.53</v>
      </c>
      <c r="D442" s="4"/>
      <c r="E442" s="4"/>
      <c r="F442" s="4"/>
      <c r="H442" s="6"/>
      <c r="I442" s="7"/>
      <c r="J442" s="8"/>
      <c r="K442" s="8"/>
      <c r="L442" s="8"/>
      <c r="M442" s="8"/>
      <c r="N442" s="8"/>
      <c r="O442" s="8"/>
      <c r="P442" s="9"/>
      <c r="Q442" s="9"/>
    </row>
    <row r="443" spans="1:17" ht="16.5" thickBot="1">
      <c r="A443" s="91" t="s">
        <v>7</v>
      </c>
      <c r="B443" s="92"/>
      <c r="C443" s="3">
        <f>SUM(C434:C442)</f>
        <v>1931050.2883333333</v>
      </c>
      <c r="D443" s="14"/>
      <c r="E443" s="14"/>
      <c r="F443" s="14"/>
      <c r="G443" s="14"/>
      <c r="H443" s="10"/>
    </row>
    <row r="444" spans="1:17" s="20" customFormat="1" ht="16.5" thickBot="1">
      <c r="A444" s="80"/>
      <c r="B444" s="80"/>
      <c r="C444" s="4"/>
      <c r="D444" s="4"/>
      <c r="E444" s="4"/>
      <c r="F444" s="4"/>
      <c r="G444" s="4"/>
      <c r="H444" s="4"/>
    </row>
    <row r="445" spans="1:17" ht="16.5" thickBot="1">
      <c r="A445" s="11" t="s">
        <v>0</v>
      </c>
      <c r="B445" s="12"/>
      <c r="C445" s="13"/>
      <c r="D445" s="14"/>
      <c r="E445" s="14"/>
      <c r="F445" s="14"/>
      <c r="G445" s="14"/>
      <c r="H445" s="10"/>
    </row>
    <row r="446" spans="1:17">
      <c r="A446" s="15" t="s">
        <v>1</v>
      </c>
      <c r="B446" s="16"/>
      <c r="C446" s="17"/>
      <c r="D446" s="14"/>
      <c r="E446" s="14"/>
      <c r="F446" s="14"/>
      <c r="G446" s="14"/>
      <c r="H446" s="18"/>
    </row>
    <row r="447" spans="1:17">
      <c r="A447" s="19" t="s">
        <v>49</v>
      </c>
      <c r="B447" s="20"/>
      <c r="C447" s="21">
        <f>331113.86-2959.08-62565.09-55902.32+C448</f>
        <v>321303.62666666659</v>
      </c>
      <c r="D447" s="14"/>
      <c r="E447" s="14"/>
      <c r="F447" s="14"/>
      <c r="G447" s="14"/>
      <c r="H447" s="18"/>
    </row>
    <row r="448" spans="1:17">
      <c r="A448" s="19" t="s">
        <v>2</v>
      </c>
      <c r="B448" s="20"/>
      <c r="C448" s="21">
        <f>2959.08/1.2+62565.09+55902.32/1.2</f>
        <v>111616.25666666667</v>
      </c>
      <c r="D448" s="14"/>
      <c r="E448" s="14"/>
      <c r="F448" s="14"/>
      <c r="G448" s="14"/>
      <c r="H448" s="18"/>
    </row>
    <row r="449" spans="1:17">
      <c r="A449" s="88" t="s">
        <v>3</v>
      </c>
      <c r="B449" s="81"/>
      <c r="C449" s="22">
        <f>571748.82+509686.86/1.2</f>
        <v>996487.86999999988</v>
      </c>
      <c r="D449" s="14"/>
      <c r="E449" s="81"/>
      <c r="F449" s="81"/>
      <c r="G449" s="23"/>
      <c r="H449" s="10"/>
    </row>
    <row r="450" spans="1:17">
      <c r="A450" s="88" t="s">
        <v>4</v>
      </c>
      <c r="B450" s="81"/>
      <c r="C450" s="22">
        <f>54023.76+48159.54/1.2</f>
        <v>94156.71</v>
      </c>
      <c r="D450" s="14"/>
      <c r="E450" s="81"/>
      <c r="F450" s="81"/>
      <c r="G450" s="23"/>
      <c r="H450" s="10"/>
    </row>
    <row r="451" spans="1:17">
      <c r="A451" s="24" t="s">
        <v>5</v>
      </c>
      <c r="B451" s="25"/>
      <c r="C451" s="22">
        <v>67232</v>
      </c>
      <c r="D451" s="14"/>
      <c r="E451" s="25"/>
      <c r="F451" s="25"/>
      <c r="G451" s="23"/>
      <c r="H451" s="10"/>
    </row>
    <row r="452" spans="1:17">
      <c r="A452" s="24" t="s">
        <v>6</v>
      </c>
      <c r="B452" s="25"/>
      <c r="C452" s="22">
        <f>25440/1.2</f>
        <v>21200</v>
      </c>
      <c r="D452" s="14"/>
      <c r="E452" s="25"/>
      <c r="F452" s="25"/>
      <c r="G452" s="23"/>
      <c r="H452" s="10"/>
    </row>
    <row r="453" spans="1:17">
      <c r="A453" s="19" t="s">
        <v>7</v>
      </c>
      <c r="B453" s="26"/>
      <c r="C453" s="27">
        <f>SUM(C449:C452)</f>
        <v>1179076.5799999998</v>
      </c>
      <c r="E453" s="26"/>
      <c r="F453" s="26"/>
      <c r="G453" s="28"/>
      <c r="H453" s="10"/>
    </row>
    <row r="454" spans="1:17">
      <c r="A454" s="19"/>
      <c r="B454" s="26"/>
      <c r="C454" s="27"/>
      <c r="E454" s="26"/>
      <c r="F454" s="26"/>
      <c r="G454" s="28"/>
      <c r="H454" s="10"/>
    </row>
    <row r="455" spans="1:17">
      <c r="A455" s="84" t="s">
        <v>8</v>
      </c>
      <c r="B455" s="85"/>
      <c r="C455" s="29"/>
      <c r="D455" s="14"/>
      <c r="E455" s="20"/>
      <c r="F455" s="20"/>
      <c r="G455" s="4"/>
      <c r="H455" s="10"/>
    </row>
    <row r="456" spans="1:17" ht="15" customHeight="1">
      <c r="A456" s="86" t="s">
        <v>9</v>
      </c>
      <c r="B456" s="87"/>
      <c r="C456" s="22">
        <f>11452.5/1.2+1350+147868.04</f>
        <v>158761.79</v>
      </c>
      <c r="D456" s="4"/>
      <c r="E456" s="80"/>
      <c r="F456" s="80"/>
      <c r="G456" s="4"/>
      <c r="H456" s="6"/>
      <c r="I456" s="7"/>
      <c r="J456" s="8"/>
      <c r="K456" s="8"/>
      <c r="L456" s="8"/>
      <c r="M456" s="8"/>
      <c r="N456" s="8"/>
      <c r="O456" s="8"/>
      <c r="P456" s="9"/>
      <c r="Q456" s="9"/>
    </row>
    <row r="457" spans="1:17" ht="15" customHeight="1">
      <c r="A457" s="24" t="s">
        <v>11</v>
      </c>
      <c r="B457" s="25"/>
      <c r="C457" s="22">
        <f>1271.8/1.2+40</f>
        <v>1099.8333333333333</v>
      </c>
      <c r="D457" s="4"/>
      <c r="E457" s="81"/>
      <c r="F457" s="81"/>
      <c r="G457" s="23"/>
      <c r="H457" s="6"/>
      <c r="I457" s="7"/>
      <c r="J457" s="8"/>
      <c r="K457" s="8"/>
      <c r="L457" s="8"/>
      <c r="M457" s="8"/>
      <c r="N457" s="8"/>
      <c r="O457" s="8"/>
      <c r="P457" s="9"/>
      <c r="Q457" s="9"/>
    </row>
    <row r="458" spans="1:17" ht="15" customHeight="1">
      <c r="A458" s="24" t="s">
        <v>22</v>
      </c>
      <c r="B458" s="25"/>
      <c r="C458" s="22">
        <v>14158</v>
      </c>
      <c r="D458" s="4"/>
      <c r="E458" s="25"/>
      <c r="F458" s="25"/>
      <c r="G458" s="23"/>
      <c r="H458" s="6"/>
      <c r="I458" s="7"/>
      <c r="J458" s="8"/>
      <c r="K458" s="8"/>
      <c r="L458" s="8"/>
      <c r="M458" s="8"/>
      <c r="N458" s="8"/>
      <c r="O458" s="8"/>
      <c r="P458" s="9"/>
      <c r="Q458" s="9"/>
    </row>
    <row r="459" spans="1:17" ht="15" customHeight="1">
      <c r="A459" s="24" t="s">
        <v>12</v>
      </c>
      <c r="B459" s="25"/>
      <c r="C459" s="22">
        <v>23917.32</v>
      </c>
      <c r="D459" s="4"/>
      <c r="E459" s="81"/>
      <c r="F459" s="81"/>
      <c r="G459" s="23"/>
      <c r="H459" s="6"/>
      <c r="I459" s="7"/>
      <c r="J459" s="8"/>
      <c r="K459" s="8"/>
      <c r="L459" s="8"/>
      <c r="M459" s="8"/>
      <c r="N459" s="8"/>
      <c r="O459" s="8"/>
      <c r="P459" s="9"/>
      <c r="Q459" s="9"/>
    </row>
    <row r="460" spans="1:17" ht="15" customHeight="1">
      <c r="A460" s="88" t="s">
        <v>13</v>
      </c>
      <c r="B460" s="81"/>
      <c r="C460" s="22">
        <v>229051.02</v>
      </c>
      <c r="D460" s="4"/>
      <c r="E460" s="81"/>
      <c r="F460" s="81"/>
      <c r="G460" s="23"/>
      <c r="H460" s="6"/>
      <c r="I460" s="7"/>
      <c r="J460" s="8"/>
      <c r="K460" s="8"/>
      <c r="L460" s="8"/>
      <c r="M460" s="8"/>
      <c r="N460" s="8"/>
      <c r="O460" s="8"/>
      <c r="P460" s="9"/>
      <c r="Q460" s="9"/>
    </row>
    <row r="461" spans="1:17" ht="15" customHeight="1">
      <c r="A461" s="82" t="s">
        <v>14</v>
      </c>
      <c r="B461" s="83"/>
      <c r="C461" s="22">
        <v>283436.46000000002</v>
      </c>
      <c r="D461" s="4"/>
      <c r="E461" s="25"/>
      <c r="F461" s="25"/>
      <c r="G461" s="23"/>
      <c r="H461" s="6"/>
      <c r="I461" s="7"/>
      <c r="J461" s="8"/>
      <c r="K461" s="8"/>
      <c r="L461" s="8"/>
      <c r="M461" s="8"/>
      <c r="N461" s="8"/>
      <c r="O461" s="8"/>
      <c r="P461" s="9"/>
      <c r="Q461" s="9"/>
    </row>
    <row r="462" spans="1:17" ht="15" customHeight="1">
      <c r="A462" s="30" t="s">
        <v>15</v>
      </c>
      <c r="B462" s="31"/>
      <c r="C462" s="22">
        <v>6583.8</v>
      </c>
      <c r="D462" s="4"/>
      <c r="E462" s="81"/>
      <c r="F462" s="81"/>
      <c r="G462" s="23"/>
      <c r="H462" s="6"/>
      <c r="I462" s="7"/>
      <c r="J462" s="8"/>
      <c r="K462" s="8"/>
      <c r="L462" s="8"/>
      <c r="M462" s="8"/>
      <c r="N462" s="8"/>
      <c r="O462" s="8"/>
      <c r="P462" s="9"/>
      <c r="Q462" s="9"/>
    </row>
    <row r="463" spans="1:17" ht="15" customHeight="1">
      <c r="A463" s="88" t="s">
        <v>16</v>
      </c>
      <c r="B463" s="81"/>
      <c r="C463" s="22">
        <f>97939.08+18620.75</f>
        <v>116559.83</v>
      </c>
      <c r="D463" s="4"/>
      <c r="E463" s="25"/>
      <c r="F463" s="25"/>
      <c r="G463" s="23"/>
      <c r="H463" s="6"/>
      <c r="I463" s="7"/>
      <c r="J463" s="8"/>
      <c r="K463" s="8"/>
      <c r="L463" s="8"/>
      <c r="M463" s="8"/>
      <c r="N463" s="8"/>
      <c r="O463" s="8"/>
      <c r="P463" s="9"/>
      <c r="Q463" s="9"/>
    </row>
    <row r="464" spans="1:17" ht="15" customHeight="1">
      <c r="A464" s="24" t="s">
        <v>40</v>
      </c>
      <c r="B464" s="25"/>
      <c r="C464" s="22">
        <v>51353</v>
      </c>
      <c r="D464" s="4"/>
      <c r="E464" s="25"/>
      <c r="F464" s="25"/>
      <c r="G464" s="23"/>
      <c r="H464" s="6"/>
      <c r="I464" s="7"/>
      <c r="J464" s="8"/>
      <c r="K464" s="8"/>
      <c r="L464" s="8"/>
      <c r="M464" s="8"/>
      <c r="N464" s="8"/>
      <c r="O464" s="8"/>
      <c r="P464" s="9"/>
      <c r="Q464" s="9"/>
    </row>
    <row r="465" spans="1:17" ht="15" customHeight="1">
      <c r="A465" s="88" t="s">
        <v>18</v>
      </c>
      <c r="B465" s="81"/>
      <c r="C465" s="22">
        <f>112833</f>
        <v>112833</v>
      </c>
      <c r="D465" s="4"/>
      <c r="E465" s="81"/>
      <c r="F465" s="81"/>
      <c r="G465" s="23"/>
      <c r="H465" s="6"/>
      <c r="I465" s="7"/>
      <c r="J465" s="8"/>
      <c r="K465" s="8"/>
      <c r="L465" s="8"/>
      <c r="M465" s="8"/>
      <c r="N465" s="8"/>
      <c r="O465" s="8"/>
      <c r="P465" s="9"/>
      <c r="Q465" s="9"/>
    </row>
    <row r="466" spans="1:17" ht="15" customHeight="1" thickBot="1">
      <c r="A466" s="41" t="s">
        <v>19</v>
      </c>
      <c r="B466" s="42"/>
      <c r="C466" s="32">
        <v>282456.64</v>
      </c>
      <c r="D466" s="4"/>
      <c r="E466" s="25"/>
      <c r="F466" s="25"/>
      <c r="G466" s="23"/>
      <c r="H466" s="6"/>
      <c r="I466" s="7"/>
      <c r="J466" s="8"/>
      <c r="K466" s="8"/>
      <c r="L466" s="8"/>
      <c r="M466" s="8"/>
      <c r="N466" s="8"/>
      <c r="O466" s="8"/>
      <c r="P466" s="9"/>
      <c r="Q466" s="9"/>
    </row>
    <row r="467" spans="1:17" ht="15" customHeight="1" thickBot="1">
      <c r="A467" s="93" t="s">
        <v>7</v>
      </c>
      <c r="B467" s="94"/>
      <c r="C467" s="3">
        <f>SUM(C456:C466)</f>
        <v>1280210.6933333334</v>
      </c>
      <c r="D467" s="4"/>
      <c r="E467" s="79"/>
      <c r="F467" s="79"/>
      <c r="G467" s="28"/>
      <c r="H467" s="6"/>
      <c r="I467" s="7"/>
      <c r="J467" s="8"/>
      <c r="K467" s="8"/>
      <c r="L467" s="8"/>
      <c r="M467" s="8"/>
      <c r="N467" s="8"/>
      <c r="O467" s="8"/>
      <c r="P467" s="9"/>
      <c r="Q467" s="9"/>
    </row>
    <row r="468" spans="1:17" ht="5.25" customHeight="1" thickBot="1">
      <c r="A468" s="33"/>
      <c r="B468" s="34"/>
      <c r="C468" s="3"/>
      <c r="D468" s="4"/>
      <c r="E468" s="35"/>
      <c r="F468" s="35"/>
      <c r="G468" s="28"/>
      <c r="H468" s="6"/>
      <c r="I468" s="7"/>
      <c r="J468" s="8"/>
      <c r="K468" s="8"/>
      <c r="L468" s="8"/>
      <c r="M468" s="8"/>
      <c r="N468" s="8"/>
      <c r="O468" s="8"/>
      <c r="P468" s="9"/>
      <c r="Q468" s="9"/>
    </row>
    <row r="469" spans="1:17" ht="16.5" thickBot="1"/>
    <row r="470" spans="1:17" ht="16.5" thickBot="1">
      <c r="A470" s="11" t="s">
        <v>20</v>
      </c>
      <c r="B470" s="12"/>
      <c r="C470" s="13"/>
      <c r="D470" s="14"/>
      <c r="E470" s="14"/>
      <c r="F470" s="14"/>
      <c r="G470" s="14"/>
      <c r="H470" s="10"/>
    </row>
    <row r="471" spans="1:17">
      <c r="A471" s="37" t="s">
        <v>1</v>
      </c>
      <c r="B471" s="38"/>
      <c r="C471" s="17"/>
      <c r="D471" s="14"/>
      <c r="E471" s="14"/>
      <c r="F471" s="14"/>
      <c r="G471" s="14"/>
      <c r="H471" s="10"/>
    </row>
    <row r="472" spans="1:17">
      <c r="A472" s="19" t="s">
        <v>49</v>
      </c>
      <c r="B472" s="39"/>
      <c r="C472" s="21">
        <f>788406.29-93733.75-105045.5-1682.86+C473</f>
        <v>772783.99833333341</v>
      </c>
      <c r="D472" s="14"/>
      <c r="E472" s="14"/>
      <c r="F472" s="14"/>
      <c r="G472" s="14"/>
      <c r="H472" s="10"/>
    </row>
    <row r="473" spans="1:17">
      <c r="A473" s="19" t="s">
        <v>2</v>
      </c>
      <c r="B473" s="20"/>
      <c r="C473" s="21">
        <f>1682.86+105045.5+93733.75/1.2</f>
        <v>184839.81833333336</v>
      </c>
      <c r="D473" s="14"/>
      <c r="E473" s="14"/>
      <c r="F473" s="14"/>
      <c r="G473" s="14"/>
      <c r="H473" s="10"/>
    </row>
    <row r="474" spans="1:17">
      <c r="A474" s="88" t="s">
        <v>3</v>
      </c>
      <c r="B474" s="81"/>
      <c r="C474" s="22">
        <f>593628.3+529190.82/1.2</f>
        <v>1034620.65</v>
      </c>
      <c r="D474" s="14"/>
      <c r="E474" s="14"/>
      <c r="F474" s="14"/>
      <c r="G474" s="14"/>
      <c r="H474" s="10"/>
    </row>
    <row r="475" spans="1:17">
      <c r="A475" s="88" t="s">
        <v>4</v>
      </c>
      <c r="B475" s="81"/>
      <c r="C475" s="22">
        <f>81917.16/1.2+91891.68</f>
        <v>160155.97999999998</v>
      </c>
      <c r="D475" s="14"/>
      <c r="E475" s="14"/>
      <c r="F475" s="14"/>
      <c r="G475" s="14"/>
      <c r="H475" s="18"/>
    </row>
    <row r="476" spans="1:17">
      <c r="A476" s="24" t="s">
        <v>5</v>
      </c>
      <c r="B476" s="25"/>
      <c r="C476" s="22">
        <v>178550</v>
      </c>
      <c r="D476" s="14"/>
      <c r="E476" s="14"/>
      <c r="F476" s="14"/>
      <c r="G476" s="14"/>
      <c r="H476" s="18"/>
    </row>
    <row r="477" spans="1:17">
      <c r="A477" s="24" t="s">
        <v>6</v>
      </c>
      <c r="B477" s="25"/>
      <c r="C477" s="22">
        <f>38160/1.2</f>
        <v>31800</v>
      </c>
      <c r="D477" s="14"/>
      <c r="E477" s="14"/>
      <c r="F477" s="14"/>
      <c r="G477" s="14"/>
    </row>
    <row r="478" spans="1:17">
      <c r="A478" s="24" t="s">
        <v>21</v>
      </c>
      <c r="B478" s="25"/>
      <c r="C478" s="22">
        <v>36000</v>
      </c>
      <c r="D478" s="14"/>
      <c r="E478" s="14"/>
      <c r="F478" s="14"/>
      <c r="G478" s="14"/>
    </row>
    <row r="479" spans="1:17">
      <c r="A479" s="19" t="s">
        <v>7</v>
      </c>
      <c r="B479" s="26"/>
      <c r="C479" s="27">
        <f>SUM(C474:C477)</f>
        <v>1405126.63</v>
      </c>
      <c r="D479" s="14"/>
      <c r="E479" s="4"/>
      <c r="F479" s="4"/>
      <c r="G479" s="4"/>
    </row>
    <row r="480" spans="1:17">
      <c r="A480" s="19"/>
      <c r="B480" s="26"/>
      <c r="C480" s="27"/>
      <c r="D480" s="14"/>
      <c r="E480" s="4"/>
      <c r="F480" s="4"/>
      <c r="G480" s="4"/>
    </row>
    <row r="481" spans="1:17">
      <c r="A481" s="84" t="s">
        <v>8</v>
      </c>
      <c r="B481" s="85"/>
      <c r="C481" s="29"/>
      <c r="E481" s="4"/>
      <c r="F481" s="4"/>
      <c r="G481" s="4"/>
      <c r="H481" s="40"/>
    </row>
    <row r="482" spans="1:17" ht="15" customHeight="1">
      <c r="A482" s="86" t="s">
        <v>9</v>
      </c>
      <c r="B482" s="87"/>
      <c r="C482" s="22">
        <f>25916.66/1.2+1610+165908.63</f>
        <v>189115.84666666668</v>
      </c>
      <c r="D482" s="4"/>
      <c r="E482" s="81"/>
      <c r="F482" s="81"/>
      <c r="G482" s="23"/>
      <c r="H482" s="6"/>
      <c r="I482" s="7"/>
      <c r="J482" s="8"/>
      <c r="K482" s="8"/>
      <c r="L482" s="8"/>
      <c r="M482" s="8"/>
      <c r="N482" s="8"/>
      <c r="O482" s="8"/>
      <c r="P482" s="9"/>
      <c r="Q482" s="9"/>
    </row>
    <row r="483" spans="1:17" ht="15" customHeight="1">
      <c r="A483" s="24" t="s">
        <v>11</v>
      </c>
      <c r="B483" s="25"/>
      <c r="C483" s="22">
        <f>1268.41+80</f>
        <v>1348.41</v>
      </c>
      <c r="D483" s="4"/>
      <c r="E483" s="81"/>
      <c r="F483" s="81"/>
      <c r="G483" s="23"/>
      <c r="H483" s="6"/>
      <c r="I483" s="7"/>
      <c r="J483" s="8"/>
      <c r="K483" s="8"/>
      <c r="L483" s="8"/>
      <c r="M483" s="8"/>
      <c r="N483" s="8"/>
      <c r="O483" s="8"/>
      <c r="P483" s="9"/>
      <c r="Q483" s="9"/>
    </row>
    <row r="484" spans="1:17" ht="15" customHeight="1">
      <c r="A484" s="24" t="s">
        <v>63</v>
      </c>
      <c r="B484" s="25"/>
      <c r="C484" s="22">
        <v>6195.12</v>
      </c>
      <c r="D484" s="4"/>
      <c r="E484" s="25"/>
      <c r="F484" s="25"/>
      <c r="G484" s="23"/>
      <c r="H484" s="6"/>
      <c r="I484" s="7"/>
      <c r="J484" s="8"/>
      <c r="K484" s="8"/>
      <c r="L484" s="8"/>
      <c r="M484" s="8"/>
      <c r="N484" s="8"/>
      <c r="O484" s="8"/>
      <c r="P484" s="9"/>
      <c r="Q484" s="9"/>
    </row>
    <row r="485" spans="1:17" ht="15" customHeight="1">
      <c r="A485" s="24" t="s">
        <v>22</v>
      </c>
      <c r="B485" s="25"/>
      <c r="C485" s="22">
        <v>1500</v>
      </c>
      <c r="D485" s="4"/>
      <c r="E485" s="25"/>
      <c r="F485" s="25"/>
      <c r="G485" s="23"/>
      <c r="H485" s="6"/>
      <c r="I485" s="7"/>
      <c r="J485" s="8"/>
      <c r="K485" s="8"/>
      <c r="L485" s="8"/>
      <c r="M485" s="8"/>
      <c r="N485" s="8"/>
      <c r="O485" s="8"/>
      <c r="P485" s="9"/>
      <c r="Q485" s="9"/>
    </row>
    <row r="486" spans="1:17" ht="15" customHeight="1">
      <c r="A486" s="24" t="s">
        <v>21</v>
      </c>
      <c r="B486" s="25"/>
      <c r="C486" s="22">
        <v>36000</v>
      </c>
      <c r="D486" s="4"/>
      <c r="E486" s="81"/>
      <c r="F486" s="81"/>
      <c r="G486" s="23"/>
      <c r="H486" s="6"/>
      <c r="I486" s="7"/>
      <c r="J486" s="8"/>
      <c r="K486" s="8"/>
      <c r="L486" s="8"/>
      <c r="M486" s="8"/>
      <c r="N486" s="8"/>
      <c r="O486" s="8"/>
      <c r="P486" s="9"/>
      <c r="Q486" s="9"/>
    </row>
    <row r="487" spans="1:17" ht="15" customHeight="1">
      <c r="A487" s="24" t="s">
        <v>12</v>
      </c>
      <c r="B487" s="25"/>
      <c r="C487" s="22">
        <v>24832.44</v>
      </c>
      <c r="D487" s="4"/>
      <c r="E487" s="25"/>
      <c r="F487" s="25"/>
      <c r="G487" s="23"/>
      <c r="H487" s="6"/>
      <c r="I487" s="7"/>
      <c r="J487" s="8"/>
      <c r="K487" s="8"/>
      <c r="L487" s="8"/>
      <c r="M487" s="8"/>
      <c r="N487" s="8"/>
      <c r="O487" s="8"/>
      <c r="P487" s="9"/>
      <c r="Q487" s="9"/>
    </row>
    <row r="488" spans="1:17" ht="15" customHeight="1">
      <c r="A488" s="88" t="s">
        <v>13</v>
      </c>
      <c r="B488" s="81"/>
      <c r="C488" s="22">
        <v>250920.18</v>
      </c>
      <c r="D488" s="4"/>
      <c r="E488" s="81"/>
      <c r="F488" s="81"/>
      <c r="G488" s="23"/>
      <c r="H488" s="6"/>
      <c r="I488" s="7"/>
      <c r="J488" s="8"/>
      <c r="K488" s="8"/>
      <c r="L488" s="8"/>
      <c r="M488" s="8"/>
      <c r="N488" s="8"/>
      <c r="O488" s="8"/>
      <c r="P488" s="9"/>
      <c r="Q488" s="9"/>
    </row>
    <row r="489" spans="1:17" ht="15" customHeight="1">
      <c r="A489" s="82" t="s">
        <v>14</v>
      </c>
      <c r="B489" s="83"/>
      <c r="C489" s="22">
        <v>310498.32</v>
      </c>
      <c r="D489" s="4"/>
      <c r="E489" s="25"/>
      <c r="F489" s="25"/>
      <c r="G489" s="23"/>
      <c r="H489" s="6"/>
      <c r="I489" s="7"/>
      <c r="J489" s="8"/>
      <c r="K489" s="8"/>
      <c r="L489" s="8"/>
      <c r="M489" s="8"/>
      <c r="N489" s="8"/>
      <c r="O489" s="8"/>
      <c r="P489" s="9"/>
      <c r="Q489" s="9"/>
    </row>
    <row r="490" spans="1:17" ht="15" customHeight="1">
      <c r="A490" s="30" t="s">
        <v>15</v>
      </c>
      <c r="B490" s="31"/>
      <c r="C490" s="22">
        <v>7212.36</v>
      </c>
      <c r="D490" s="4"/>
      <c r="E490" s="25"/>
      <c r="F490" s="25"/>
      <c r="G490" s="23"/>
      <c r="H490" s="6"/>
      <c r="I490" s="7"/>
      <c r="J490" s="8"/>
      <c r="K490" s="8"/>
      <c r="L490" s="8"/>
      <c r="M490" s="8"/>
      <c r="N490" s="8"/>
      <c r="O490" s="8"/>
      <c r="P490" s="9"/>
      <c r="Q490" s="9"/>
    </row>
    <row r="491" spans="1:17" ht="15" customHeight="1">
      <c r="A491" s="88" t="s">
        <v>16</v>
      </c>
      <c r="B491" s="81"/>
      <c r="C491" s="22">
        <f>107289.96+20892.57</f>
        <v>128182.53</v>
      </c>
      <c r="D491" s="4"/>
      <c r="E491" s="81"/>
      <c r="F491" s="81"/>
      <c r="G491" s="23"/>
      <c r="H491" s="6"/>
      <c r="I491" s="7"/>
      <c r="J491" s="8"/>
      <c r="K491" s="8"/>
      <c r="L491" s="8"/>
      <c r="M491" s="8"/>
      <c r="N491" s="8"/>
      <c r="O491" s="8"/>
      <c r="P491" s="9"/>
      <c r="Q491" s="9"/>
    </row>
    <row r="492" spans="1:17" ht="15" customHeight="1">
      <c r="A492" s="24" t="s">
        <v>17</v>
      </c>
      <c r="B492" s="25"/>
      <c r="C492" s="22">
        <v>14387.55</v>
      </c>
      <c r="D492" s="4"/>
      <c r="E492" s="25"/>
      <c r="F492" s="25"/>
      <c r="G492" s="23"/>
      <c r="H492" s="6"/>
      <c r="I492" s="7"/>
      <c r="J492" s="8"/>
      <c r="K492" s="8"/>
      <c r="L492" s="8"/>
      <c r="M492" s="8"/>
      <c r="N492" s="8"/>
      <c r="O492" s="8"/>
      <c r="P492" s="9"/>
      <c r="Q492" s="9"/>
    </row>
    <row r="493" spans="1:17" ht="15" customHeight="1">
      <c r="A493" s="88" t="s">
        <v>18</v>
      </c>
      <c r="B493" s="81"/>
      <c r="C493" s="22">
        <v>123606</v>
      </c>
      <c r="D493" s="4"/>
      <c r="E493" s="25"/>
      <c r="F493" s="25"/>
      <c r="G493" s="23"/>
      <c r="H493" s="6"/>
      <c r="I493" s="7"/>
      <c r="J493" s="8"/>
      <c r="K493" s="8"/>
      <c r="L493" s="8"/>
      <c r="M493" s="8"/>
      <c r="N493" s="8"/>
      <c r="O493" s="8"/>
      <c r="P493" s="9"/>
      <c r="Q493" s="9"/>
    </row>
    <row r="494" spans="1:17" ht="15" customHeight="1" thickBot="1">
      <c r="A494" s="89" t="s">
        <v>19</v>
      </c>
      <c r="B494" s="90"/>
      <c r="C494" s="32">
        <v>316917.65999999997</v>
      </c>
      <c r="D494" s="4"/>
      <c r="E494" s="79"/>
      <c r="F494" s="79"/>
      <c r="G494" s="28"/>
      <c r="H494" s="6"/>
      <c r="I494" s="7"/>
      <c r="J494" s="8"/>
      <c r="K494" s="8"/>
      <c r="L494" s="8"/>
      <c r="M494" s="8"/>
      <c r="N494" s="8"/>
      <c r="O494" s="8"/>
      <c r="P494" s="9"/>
      <c r="Q494" s="9"/>
    </row>
    <row r="495" spans="1:17" ht="16.5" thickBot="1">
      <c r="A495" s="93" t="s">
        <v>7</v>
      </c>
      <c r="B495" s="94"/>
      <c r="C495" s="3">
        <f>SUM(C482:C494)</f>
        <v>1410716.4166666667</v>
      </c>
      <c r="D495" s="14"/>
      <c r="E495" s="4"/>
      <c r="F495" s="4"/>
      <c r="G495" s="4"/>
      <c r="H495" s="10"/>
    </row>
    <row r="496" spans="1:17" ht="6" customHeight="1" thickBot="1">
      <c r="A496" s="33"/>
      <c r="B496" s="34"/>
      <c r="C496" s="3"/>
      <c r="D496" s="14"/>
      <c r="E496" s="4"/>
      <c r="F496" s="4"/>
      <c r="G496" s="4"/>
      <c r="H496" s="10"/>
    </row>
    <row r="498" spans="1:15" s="20" customFormat="1" ht="15" customHeight="1">
      <c r="A498" s="25"/>
      <c r="B498" s="25"/>
      <c r="C498" s="23"/>
      <c r="D498" s="4"/>
      <c r="E498" s="4"/>
      <c r="F498" s="4"/>
      <c r="G498" s="4"/>
      <c r="H498" s="71"/>
      <c r="I498" s="72"/>
      <c r="J498" s="73"/>
      <c r="K498" s="73"/>
      <c r="L498" s="73"/>
      <c r="M498" s="73"/>
      <c r="N498" s="73"/>
      <c r="O498" s="73"/>
    </row>
    <row r="499" spans="1:15" s="20" customFormat="1" ht="15" customHeight="1">
      <c r="A499" s="25"/>
      <c r="B499" s="25"/>
      <c r="C499" s="23"/>
      <c r="D499" s="4"/>
      <c r="E499" s="4"/>
      <c r="F499" s="4"/>
      <c r="G499" s="4"/>
      <c r="H499" s="71"/>
      <c r="I499" s="72"/>
      <c r="J499" s="73"/>
      <c r="K499" s="73"/>
      <c r="L499" s="73"/>
      <c r="M499" s="73"/>
      <c r="N499" s="73"/>
      <c r="O499" s="73"/>
    </row>
    <row r="500" spans="1:15" s="20" customFormat="1" ht="15" customHeight="1">
      <c r="A500" s="25"/>
      <c r="B500" s="25"/>
      <c r="C500" s="23"/>
      <c r="D500" s="4"/>
      <c r="E500" s="4"/>
      <c r="F500" s="4"/>
      <c r="G500" s="4"/>
      <c r="H500" s="71"/>
      <c r="I500" s="72"/>
      <c r="J500" s="73"/>
      <c r="K500" s="73"/>
      <c r="L500" s="73"/>
      <c r="M500" s="73"/>
      <c r="N500" s="73"/>
      <c r="O500" s="73"/>
    </row>
    <row r="501" spans="1:15" s="20" customFormat="1" ht="15" customHeight="1">
      <c r="A501" s="25"/>
      <c r="B501" s="25"/>
      <c r="C501" s="23"/>
      <c r="D501" s="4"/>
      <c r="E501" s="4"/>
      <c r="F501" s="4"/>
      <c r="G501" s="4"/>
      <c r="H501" s="71"/>
      <c r="I501" s="72"/>
      <c r="J501" s="73"/>
      <c r="K501" s="73"/>
      <c r="L501" s="73"/>
      <c r="M501" s="73"/>
      <c r="N501" s="73"/>
      <c r="O501" s="73"/>
    </row>
    <row r="502" spans="1:15" s="20" customFormat="1" ht="15" customHeight="1">
      <c r="A502" s="81"/>
      <c r="B502" s="81"/>
      <c r="C502" s="23"/>
      <c r="D502" s="4"/>
      <c r="E502" s="4"/>
      <c r="F502" s="4"/>
      <c r="G502" s="4"/>
      <c r="H502" s="71"/>
      <c r="I502" s="72"/>
      <c r="J502" s="73"/>
      <c r="K502" s="73"/>
      <c r="L502" s="73"/>
      <c r="M502" s="73"/>
      <c r="N502" s="73"/>
      <c r="O502" s="73"/>
    </row>
    <row r="503" spans="1:15" s="20" customFormat="1" ht="15" customHeight="1">
      <c r="A503" s="83"/>
      <c r="B503" s="83"/>
      <c r="C503" s="23"/>
      <c r="D503" s="4"/>
      <c r="E503" s="4"/>
      <c r="F503" s="4"/>
      <c r="G503" s="4"/>
      <c r="H503" s="71"/>
      <c r="I503" s="72"/>
      <c r="J503" s="73"/>
      <c r="K503" s="73"/>
      <c r="L503" s="73"/>
      <c r="M503" s="73"/>
      <c r="N503" s="73"/>
      <c r="O503" s="73"/>
    </row>
    <row r="504" spans="1:15" s="20" customFormat="1" ht="15" customHeight="1">
      <c r="A504" s="31"/>
      <c r="B504" s="31"/>
      <c r="C504" s="23"/>
      <c r="D504" s="4"/>
      <c r="E504" s="4"/>
      <c r="F504" s="4"/>
      <c r="G504" s="4"/>
      <c r="H504" s="71"/>
      <c r="I504" s="72"/>
      <c r="J504" s="73"/>
      <c r="K504" s="73"/>
      <c r="L504" s="73"/>
      <c r="M504" s="73"/>
      <c r="N504" s="73"/>
      <c r="O504" s="73"/>
    </row>
    <row r="505" spans="1:15" s="20" customFormat="1" ht="15" customHeight="1">
      <c r="A505" s="31"/>
      <c r="B505" s="31"/>
      <c r="C505" s="23"/>
      <c r="D505" s="4"/>
      <c r="E505" s="4"/>
      <c r="F505" s="4"/>
      <c r="G505" s="4"/>
      <c r="H505" s="71"/>
      <c r="I505" s="72"/>
      <c r="J505" s="73"/>
      <c r="K505" s="73"/>
      <c r="L505" s="73"/>
      <c r="M505" s="73"/>
      <c r="N505" s="73"/>
      <c r="O505" s="73"/>
    </row>
    <row r="506" spans="1:15" s="20" customFormat="1" ht="15" customHeight="1">
      <c r="A506" s="81"/>
      <c r="B506" s="81"/>
      <c r="C506" s="23"/>
      <c r="D506" s="4"/>
      <c r="E506" s="4"/>
      <c r="F506" s="4"/>
      <c r="G506" s="4"/>
      <c r="H506" s="71"/>
      <c r="I506" s="72"/>
      <c r="J506" s="73"/>
      <c r="K506" s="73"/>
      <c r="L506" s="73"/>
      <c r="M506" s="73"/>
      <c r="N506" s="73"/>
      <c r="O506" s="73"/>
    </row>
    <row r="507" spans="1:15" s="20" customFormat="1" ht="15" customHeight="1">
      <c r="A507" s="25"/>
      <c r="B507" s="25"/>
      <c r="C507" s="23"/>
      <c r="D507" s="4"/>
      <c r="E507" s="4"/>
      <c r="F507" s="4"/>
      <c r="G507" s="4"/>
      <c r="H507" s="71"/>
      <c r="I507" s="72"/>
      <c r="J507" s="73"/>
      <c r="K507" s="73"/>
      <c r="L507" s="73"/>
      <c r="M507" s="73"/>
      <c r="N507" s="73"/>
      <c r="O507" s="73"/>
    </row>
    <row r="508" spans="1:15" s="20" customFormat="1" ht="15" customHeight="1">
      <c r="A508" s="81"/>
      <c r="B508" s="81"/>
      <c r="C508" s="23"/>
      <c r="D508" s="4"/>
      <c r="E508" s="4"/>
      <c r="F508" s="4"/>
      <c r="G508" s="4"/>
      <c r="H508" s="71"/>
      <c r="I508" s="72"/>
      <c r="J508" s="73"/>
      <c r="K508" s="73"/>
      <c r="L508" s="73"/>
      <c r="M508" s="73"/>
      <c r="N508" s="73"/>
      <c r="O508" s="73"/>
    </row>
    <row r="509" spans="1:15" s="20" customFormat="1">
      <c r="A509" s="79"/>
      <c r="B509" s="79"/>
      <c r="C509" s="28"/>
      <c r="D509" s="4"/>
      <c r="E509" s="4"/>
      <c r="F509" s="4"/>
      <c r="G509" s="4"/>
    </row>
    <row r="510" spans="1:15" s="20" customFormat="1" ht="6" customHeight="1">
      <c r="A510" s="35"/>
      <c r="B510" s="35"/>
      <c r="C510" s="28"/>
      <c r="D510" s="4"/>
      <c r="E510" s="4"/>
      <c r="F510" s="4"/>
      <c r="G510" s="4"/>
    </row>
    <row r="511" spans="1:15" s="20" customFormat="1">
      <c r="C511" s="4"/>
      <c r="D511" s="4"/>
      <c r="E511" s="4"/>
      <c r="F511" s="4"/>
      <c r="G511" s="4"/>
      <c r="H511" s="4"/>
    </row>
    <row r="512" spans="1:15" s="20" customFormat="1">
      <c r="A512" s="26"/>
      <c r="C512" s="4"/>
      <c r="D512" s="4"/>
      <c r="E512" s="4"/>
      <c r="F512" s="4"/>
      <c r="G512" s="4"/>
      <c r="H512" s="4"/>
    </row>
    <row r="513" spans="1:15" s="20" customFormat="1">
      <c r="A513" s="26"/>
      <c r="C513" s="4"/>
      <c r="D513" s="4"/>
      <c r="E513" s="4"/>
      <c r="F513" s="4"/>
      <c r="G513" s="4"/>
      <c r="H513" s="4"/>
    </row>
    <row r="514" spans="1:15" s="20" customFormat="1">
      <c r="A514" s="26"/>
      <c r="C514" s="70"/>
      <c r="D514" s="4"/>
      <c r="E514" s="4"/>
      <c r="F514" s="4"/>
      <c r="G514" s="4"/>
      <c r="H514" s="4"/>
    </row>
    <row r="515" spans="1:15" s="20" customFormat="1">
      <c r="A515" s="26"/>
      <c r="C515" s="70"/>
      <c r="D515" s="4"/>
      <c r="E515" s="4"/>
      <c r="F515" s="4"/>
      <c r="G515" s="4"/>
      <c r="H515" s="4"/>
    </row>
    <row r="516" spans="1:15" s="20" customFormat="1">
      <c r="A516" s="81"/>
      <c r="B516" s="81"/>
      <c r="C516" s="23"/>
      <c r="D516" s="4"/>
      <c r="E516" s="4"/>
      <c r="F516" s="4"/>
      <c r="G516" s="4"/>
      <c r="H516" s="74"/>
    </row>
    <row r="517" spans="1:15" s="20" customFormat="1">
      <c r="A517" s="81"/>
      <c r="B517" s="81"/>
      <c r="C517" s="23"/>
      <c r="D517" s="4"/>
      <c r="E517" s="4"/>
      <c r="F517" s="4"/>
      <c r="G517" s="4"/>
      <c r="H517" s="4"/>
    </row>
    <row r="518" spans="1:15" s="20" customFormat="1">
      <c r="A518" s="25"/>
      <c r="B518" s="25"/>
      <c r="C518" s="23"/>
      <c r="D518" s="4"/>
      <c r="E518" s="4"/>
      <c r="F518" s="4"/>
      <c r="G518" s="4"/>
      <c r="H518" s="4"/>
    </row>
    <row r="519" spans="1:15" s="20" customFormat="1">
      <c r="A519" s="25"/>
      <c r="B519" s="25"/>
      <c r="C519" s="23"/>
      <c r="D519" s="4"/>
      <c r="E519" s="4"/>
      <c r="F519" s="4"/>
      <c r="G519" s="4"/>
      <c r="H519" s="4"/>
    </row>
    <row r="520" spans="1:15" s="20" customFormat="1">
      <c r="A520" s="26"/>
      <c r="B520" s="26"/>
      <c r="C520" s="28"/>
      <c r="D520" s="4"/>
      <c r="E520" s="4"/>
      <c r="F520" s="4"/>
      <c r="G520" s="4"/>
      <c r="H520" s="4"/>
    </row>
    <row r="521" spans="1:15" s="20" customFormat="1">
      <c r="A521" s="26"/>
      <c r="B521" s="26"/>
      <c r="C521" s="28"/>
      <c r="D521" s="4"/>
      <c r="E521" s="4"/>
      <c r="F521" s="4"/>
      <c r="G521" s="4"/>
      <c r="H521" s="4"/>
    </row>
    <row r="522" spans="1:15" s="20" customFormat="1">
      <c r="A522" s="80"/>
      <c r="B522" s="80"/>
      <c r="C522" s="4"/>
      <c r="D522" s="4"/>
      <c r="E522" s="4"/>
      <c r="F522" s="4"/>
      <c r="G522" s="4"/>
      <c r="H522" s="4"/>
    </row>
    <row r="523" spans="1:15" s="20" customFormat="1" ht="15" customHeight="1">
      <c r="A523" s="81"/>
      <c r="B523" s="81"/>
      <c r="C523" s="23"/>
      <c r="D523" s="4"/>
      <c r="E523" s="4"/>
      <c r="F523" s="4"/>
      <c r="G523" s="4"/>
      <c r="H523" s="71"/>
      <c r="I523" s="72"/>
      <c r="J523" s="73"/>
      <c r="K523" s="73"/>
      <c r="L523" s="73"/>
      <c r="M523" s="73"/>
      <c r="N523" s="73"/>
      <c r="O523" s="73"/>
    </row>
    <row r="524" spans="1:15" s="20" customFormat="1" ht="15" customHeight="1">
      <c r="A524" s="25"/>
      <c r="B524" s="25"/>
      <c r="C524" s="23"/>
      <c r="D524" s="4"/>
      <c r="E524" s="4"/>
      <c r="F524" s="4"/>
      <c r="G524" s="4"/>
      <c r="H524" s="71"/>
      <c r="I524" s="72"/>
      <c r="J524" s="73"/>
      <c r="K524" s="73"/>
      <c r="L524" s="73"/>
      <c r="M524" s="73"/>
      <c r="N524" s="73"/>
      <c r="O524" s="73"/>
    </row>
    <row r="525" spans="1:15" s="20" customFormat="1" ht="15" customHeight="1">
      <c r="A525" s="25"/>
      <c r="B525" s="25"/>
      <c r="C525" s="23"/>
      <c r="D525" s="4"/>
      <c r="E525" s="4"/>
      <c r="F525" s="4"/>
      <c r="G525" s="4"/>
      <c r="H525" s="71"/>
      <c r="I525" s="72"/>
      <c r="J525" s="73"/>
      <c r="K525" s="73"/>
      <c r="L525" s="73"/>
      <c r="M525" s="73"/>
      <c r="N525" s="73"/>
      <c r="O525" s="73"/>
    </row>
    <row r="526" spans="1:15" s="20" customFormat="1" ht="15" customHeight="1">
      <c r="A526" s="25"/>
      <c r="B526" s="25"/>
      <c r="C526" s="23"/>
      <c r="D526" s="4"/>
      <c r="E526" s="4"/>
      <c r="F526" s="4"/>
      <c r="G526" s="4"/>
      <c r="H526" s="71"/>
      <c r="I526" s="72"/>
      <c r="J526" s="73"/>
      <c r="K526" s="73"/>
      <c r="L526" s="73"/>
      <c r="M526" s="73"/>
      <c r="N526" s="73"/>
      <c r="O526" s="73"/>
    </row>
    <row r="527" spans="1:15" s="20" customFormat="1" ht="15" customHeight="1">
      <c r="A527" s="25"/>
      <c r="B527" s="25"/>
      <c r="C527" s="23"/>
      <c r="D527" s="4"/>
      <c r="E527" s="4"/>
      <c r="F527" s="4"/>
      <c r="G527" s="4"/>
      <c r="H527" s="71"/>
      <c r="I527" s="72"/>
      <c r="J527" s="73"/>
      <c r="K527" s="73"/>
      <c r="L527" s="73"/>
      <c r="M527" s="73"/>
      <c r="N527" s="73"/>
      <c r="O527" s="73"/>
    </row>
    <row r="528" spans="1:15" s="20" customFormat="1" ht="15" customHeight="1">
      <c r="A528" s="81"/>
      <c r="B528" s="81"/>
      <c r="C528" s="23"/>
      <c r="D528" s="4"/>
      <c r="E528" s="4"/>
      <c r="F528" s="4"/>
      <c r="G528" s="4"/>
      <c r="H528" s="71"/>
      <c r="I528" s="72"/>
      <c r="J528" s="73"/>
      <c r="K528" s="73"/>
      <c r="L528" s="73"/>
      <c r="M528" s="73"/>
      <c r="N528" s="73"/>
      <c r="O528" s="73"/>
    </row>
    <row r="529" spans="1:15" s="20" customFormat="1" ht="15" customHeight="1">
      <c r="A529" s="31"/>
      <c r="B529" s="31"/>
      <c r="C529" s="23"/>
      <c r="D529" s="4"/>
      <c r="E529" s="4"/>
      <c r="F529" s="4"/>
      <c r="G529" s="4"/>
      <c r="H529" s="71"/>
      <c r="I529" s="72"/>
      <c r="J529" s="73"/>
      <c r="K529" s="73"/>
      <c r="L529" s="73"/>
      <c r="M529" s="73"/>
      <c r="N529" s="73"/>
      <c r="O529" s="73"/>
    </row>
    <row r="530" spans="1:15" s="20" customFormat="1" ht="15" customHeight="1">
      <c r="A530" s="31"/>
      <c r="B530" s="31"/>
      <c r="C530" s="23"/>
      <c r="D530" s="4"/>
      <c r="E530" s="4"/>
      <c r="F530" s="4"/>
      <c r="G530" s="4"/>
      <c r="H530" s="71"/>
      <c r="I530" s="72"/>
      <c r="J530" s="73"/>
      <c r="K530" s="73"/>
      <c r="L530" s="73"/>
      <c r="M530" s="73"/>
      <c r="N530" s="73"/>
      <c r="O530" s="73"/>
    </row>
    <row r="531" spans="1:15" s="20" customFormat="1" ht="15" customHeight="1">
      <c r="A531" s="81"/>
      <c r="B531" s="81"/>
      <c r="C531" s="23"/>
      <c r="D531" s="4"/>
      <c r="E531" s="4"/>
      <c r="F531" s="4"/>
      <c r="G531" s="4"/>
      <c r="H531" s="71"/>
      <c r="I531" s="72"/>
      <c r="J531" s="73"/>
      <c r="K531" s="73"/>
      <c r="L531" s="73"/>
      <c r="M531" s="73"/>
      <c r="N531" s="73"/>
      <c r="O531" s="73"/>
    </row>
    <row r="532" spans="1:15" s="20" customFormat="1" ht="15" customHeight="1">
      <c r="A532" s="25"/>
      <c r="B532" s="25"/>
      <c r="C532" s="23"/>
      <c r="D532" s="4"/>
      <c r="E532" s="4"/>
      <c r="F532" s="4"/>
      <c r="G532" s="4"/>
      <c r="H532" s="71"/>
      <c r="I532" s="72"/>
      <c r="J532" s="73"/>
      <c r="K532" s="73"/>
      <c r="L532" s="73"/>
      <c r="M532" s="73"/>
      <c r="N532" s="73"/>
      <c r="O532" s="73"/>
    </row>
    <row r="533" spans="1:15" s="20" customFormat="1" ht="15" customHeight="1">
      <c r="A533" s="81"/>
      <c r="B533" s="81"/>
      <c r="C533" s="23"/>
      <c r="D533" s="4"/>
      <c r="E533" s="4"/>
      <c r="F533" s="4"/>
      <c r="G533" s="4"/>
      <c r="H533" s="71"/>
      <c r="I533" s="72"/>
      <c r="J533" s="73"/>
      <c r="K533" s="73"/>
      <c r="L533" s="73"/>
      <c r="M533" s="73"/>
      <c r="N533" s="73"/>
      <c r="O533" s="73"/>
    </row>
    <row r="534" spans="1:15" s="20" customFormat="1">
      <c r="A534" s="79"/>
      <c r="B534" s="79"/>
      <c r="C534" s="28"/>
      <c r="D534" s="4"/>
      <c r="E534" s="4"/>
      <c r="F534" s="4"/>
      <c r="G534" s="4"/>
    </row>
    <row r="535" spans="1:15" s="20" customFormat="1">
      <c r="C535" s="4"/>
      <c r="D535" s="4"/>
      <c r="E535" s="4"/>
      <c r="F535" s="4"/>
      <c r="G535" s="4"/>
      <c r="H535" s="4"/>
    </row>
    <row r="536" spans="1:15" s="20" customFormat="1">
      <c r="C536" s="4"/>
      <c r="D536" s="4"/>
      <c r="E536" s="4"/>
      <c r="F536" s="4"/>
      <c r="G536" s="4"/>
      <c r="H536" s="4"/>
    </row>
    <row r="537" spans="1:15" s="20" customFormat="1">
      <c r="A537" s="80"/>
      <c r="B537" s="80"/>
      <c r="C537" s="23"/>
      <c r="D537" s="4"/>
      <c r="E537" s="4"/>
      <c r="F537" s="4"/>
      <c r="G537" s="4"/>
      <c r="H537" s="4"/>
    </row>
    <row r="538" spans="1:15" s="20" customFormat="1">
      <c r="A538" s="80"/>
      <c r="B538" s="80"/>
      <c r="C538" s="23"/>
      <c r="D538" s="4"/>
      <c r="E538" s="4"/>
      <c r="F538" s="4"/>
      <c r="G538" s="4"/>
      <c r="H538" s="4"/>
    </row>
  </sheetData>
  <mergeCells count="211">
    <mergeCell ref="E486:F486"/>
    <mergeCell ref="A488:B488"/>
    <mergeCell ref="E488:F488"/>
    <mergeCell ref="A489:B489"/>
    <mergeCell ref="E491:F491"/>
    <mergeCell ref="A493:B493"/>
    <mergeCell ref="A494:B494"/>
    <mergeCell ref="E494:F494"/>
    <mergeCell ref="A495:B495"/>
    <mergeCell ref="E462:F462"/>
    <mergeCell ref="A463:B463"/>
    <mergeCell ref="E465:F465"/>
    <mergeCell ref="A467:B467"/>
    <mergeCell ref="E467:F467"/>
    <mergeCell ref="A474:B474"/>
    <mergeCell ref="A475:B475"/>
    <mergeCell ref="E482:F482"/>
    <mergeCell ref="E483:F483"/>
    <mergeCell ref="A465:B465"/>
    <mergeCell ref="E449:F449"/>
    <mergeCell ref="A450:B450"/>
    <mergeCell ref="E450:F450"/>
    <mergeCell ref="A455:B455"/>
    <mergeCell ref="E456:F456"/>
    <mergeCell ref="E457:F457"/>
    <mergeCell ref="E459:F459"/>
    <mergeCell ref="A460:B460"/>
    <mergeCell ref="E460:F460"/>
    <mergeCell ref="A189:B189"/>
    <mergeCell ref="A190:B190"/>
    <mergeCell ref="A191:B191"/>
    <mergeCell ref="A194:B194"/>
    <mergeCell ref="A202:B202"/>
    <mergeCell ref="A212:B212"/>
    <mergeCell ref="A214:B214"/>
    <mergeCell ref="A218:B218"/>
    <mergeCell ref="A219:B219"/>
    <mergeCell ref="A210:B210"/>
    <mergeCell ref="A213:B213"/>
    <mergeCell ref="A84:B84"/>
    <mergeCell ref="A85:B85"/>
    <mergeCell ref="A90:B90"/>
    <mergeCell ref="A91:B91"/>
    <mergeCell ref="A92:B92"/>
    <mergeCell ref="A107:B107"/>
    <mergeCell ref="A108:B108"/>
    <mergeCell ref="A111:B111"/>
    <mergeCell ref="A113:B113"/>
    <mergeCell ref="A6:B6"/>
    <mergeCell ref="A7:B7"/>
    <mergeCell ref="A13:B13"/>
    <mergeCell ref="A14:B14"/>
    <mergeCell ref="A16:B16"/>
    <mergeCell ref="A20:B20"/>
    <mergeCell ref="A24:B24"/>
    <mergeCell ref="A31:B31"/>
    <mergeCell ref="A21:B21"/>
    <mergeCell ref="A23:B23"/>
    <mergeCell ref="A43:B43"/>
    <mergeCell ref="A44:B44"/>
    <mergeCell ref="A38:B38"/>
    <mergeCell ref="A37:B37"/>
    <mergeCell ref="A41:B41"/>
    <mergeCell ref="A45:B45"/>
    <mergeCell ref="A47:B47"/>
    <mergeCell ref="A79:B79"/>
    <mergeCell ref="A60:B60"/>
    <mergeCell ref="A66:B66"/>
    <mergeCell ref="A54:B54"/>
    <mergeCell ref="A55:B55"/>
    <mergeCell ref="A61:B61"/>
    <mergeCell ref="A63:B63"/>
    <mergeCell ref="A65:B65"/>
    <mergeCell ref="A68:B68"/>
    <mergeCell ref="A69:B69"/>
    <mergeCell ref="A71:B71"/>
    <mergeCell ref="A78:B78"/>
    <mergeCell ref="A114:B114"/>
    <mergeCell ref="A115:B115"/>
    <mergeCell ref="A88:B88"/>
    <mergeCell ref="A94:B94"/>
    <mergeCell ref="A101:B101"/>
    <mergeCell ref="A118:B118"/>
    <mergeCell ref="A120:B120"/>
    <mergeCell ref="A143:B143"/>
    <mergeCell ref="A127:B127"/>
    <mergeCell ref="A133:B133"/>
    <mergeCell ref="A132:B132"/>
    <mergeCell ref="A136:B136"/>
    <mergeCell ref="A137:B137"/>
    <mergeCell ref="A138:B138"/>
    <mergeCell ref="A141:B141"/>
    <mergeCell ref="A150:B150"/>
    <mergeCell ref="A151:B151"/>
    <mergeCell ref="A179:B179"/>
    <mergeCell ref="A180:B180"/>
    <mergeCell ref="A181:B181"/>
    <mergeCell ref="A186:B186"/>
    <mergeCell ref="A168:B168"/>
    <mergeCell ref="A174:B174"/>
    <mergeCell ref="A158:B158"/>
    <mergeCell ref="A159:B159"/>
    <mergeCell ref="A164:B164"/>
    <mergeCell ref="A166:B166"/>
    <mergeCell ref="A167:B167"/>
    <mergeCell ref="A171:B171"/>
    <mergeCell ref="A172:B172"/>
    <mergeCell ref="A185:B185"/>
    <mergeCell ref="A221:B221"/>
    <mergeCell ref="A195:B195"/>
    <mergeCell ref="A207:B207"/>
    <mergeCell ref="A208:B208"/>
    <mergeCell ref="A226:B226"/>
    <mergeCell ref="A253:B253"/>
    <mergeCell ref="A257:B257"/>
    <mergeCell ref="A258:B258"/>
    <mergeCell ref="A263:B263"/>
    <mergeCell ref="A236:B236"/>
    <mergeCell ref="A237:B237"/>
    <mergeCell ref="A238:B238"/>
    <mergeCell ref="A232:B232"/>
    <mergeCell ref="A233:B233"/>
    <mergeCell ref="A240:B240"/>
    <mergeCell ref="A241:B241"/>
    <mergeCell ref="A248:B248"/>
    <mergeCell ref="A254:B254"/>
    <mergeCell ref="A259:B259"/>
    <mergeCell ref="A289:B289"/>
    <mergeCell ref="A264:B264"/>
    <mergeCell ref="A278:B278"/>
    <mergeCell ref="A279:B279"/>
    <mergeCell ref="A285:B285"/>
    <mergeCell ref="A286:B286"/>
    <mergeCell ref="A288:B288"/>
    <mergeCell ref="A317:B317"/>
    <mergeCell ref="A296:B296"/>
    <mergeCell ref="A311:B311"/>
    <mergeCell ref="A312:B312"/>
    <mergeCell ref="A316:B316"/>
    <mergeCell ref="A298:B298"/>
    <mergeCell ref="A305:B305"/>
    <mergeCell ref="A306:B306"/>
    <mergeCell ref="A314:B314"/>
    <mergeCell ref="A271:B271"/>
    <mergeCell ref="A272:B272"/>
    <mergeCell ref="A325:B325"/>
    <mergeCell ref="A326:B326"/>
    <mergeCell ref="A332:B332"/>
    <mergeCell ref="A333:B333"/>
    <mergeCell ref="A358:B358"/>
    <mergeCell ref="A364:B364"/>
    <mergeCell ref="A376:B376"/>
    <mergeCell ref="A343:B343"/>
    <mergeCell ref="A344:B344"/>
    <mergeCell ref="A357:B357"/>
    <mergeCell ref="A375:B375"/>
    <mergeCell ref="A338:B338"/>
    <mergeCell ref="A339:B339"/>
    <mergeCell ref="A341:B341"/>
    <mergeCell ref="A351:B351"/>
    <mergeCell ref="A352:B352"/>
    <mergeCell ref="A363:B363"/>
    <mergeCell ref="A366:B366"/>
    <mergeCell ref="A368:B368"/>
    <mergeCell ref="A369:B369"/>
    <mergeCell ref="A403:B403"/>
    <mergeCell ref="A387:B387"/>
    <mergeCell ref="A382:B382"/>
    <mergeCell ref="A383:B383"/>
    <mergeCell ref="A388:B388"/>
    <mergeCell ref="A390:B390"/>
    <mergeCell ref="A393:B393"/>
    <mergeCell ref="A394:B394"/>
    <mergeCell ref="A401:B401"/>
    <mergeCell ref="A408:B408"/>
    <mergeCell ref="A409:B409"/>
    <mergeCell ref="A444:B444"/>
    <mergeCell ref="A419:B419"/>
    <mergeCell ref="A427:B427"/>
    <mergeCell ref="A442:B442"/>
    <mergeCell ref="A443:B443"/>
    <mergeCell ref="A449:B449"/>
    <mergeCell ref="A456:B456"/>
    <mergeCell ref="A414:B414"/>
    <mergeCell ref="A415:B415"/>
    <mergeCell ref="A417:B417"/>
    <mergeCell ref="A420:B420"/>
    <mergeCell ref="A428:B428"/>
    <mergeCell ref="A433:B433"/>
    <mergeCell ref="A434:B434"/>
    <mergeCell ref="A437:B437"/>
    <mergeCell ref="A440:B440"/>
    <mergeCell ref="A461:B461"/>
    <mergeCell ref="A502:B502"/>
    <mergeCell ref="A503:B503"/>
    <mergeCell ref="A506:B506"/>
    <mergeCell ref="A508:B508"/>
    <mergeCell ref="A509:B509"/>
    <mergeCell ref="A516:B516"/>
    <mergeCell ref="A481:B481"/>
    <mergeCell ref="A482:B482"/>
    <mergeCell ref="A491:B491"/>
    <mergeCell ref="A534:B534"/>
    <mergeCell ref="A537:B537"/>
    <mergeCell ref="A538:B538"/>
    <mergeCell ref="A517:B517"/>
    <mergeCell ref="A522:B522"/>
    <mergeCell ref="A523:B523"/>
    <mergeCell ref="A528:B528"/>
    <mergeCell ref="A531:B531"/>
    <mergeCell ref="A533:B5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2022-03-22T07:41:42Z</dcterms:modified>
</cp:coreProperties>
</file>